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0bd19d0f3f74c0be/Associação SIS - RASA/1o. ciclo - bancos comerciais - 2022/BRADESCO/"/>
    </mc:Choice>
  </mc:AlternateContent>
  <xr:revisionPtr revIDLastSave="609" documentId="14_{3380BC46-0EC6-4480-AD80-BC3CF58BC0AB}" xr6:coauthVersionLast="47" xr6:coauthVersionMax="47" xr10:uidLastSave="{69DB83F0-FEF9-4C30-A84D-5EAF269E7514}"/>
  <bookViews>
    <workbookView xWindow="-120" yWindow="-16320" windowWidth="29040" windowHeight="15720" firstSheet="6" activeTab="11" xr2:uid="{033D211D-4D1B-C74C-B933-05804CD3EC4A}"/>
  </bookViews>
  <sheets>
    <sheet name="Banco (CRÉDITO)" sheetId="1" r:id="rId1"/>
    <sheet name="Presença nas Políticas" sheetId="8" r:id="rId2"/>
    <sheet name="Profundidade de Políticas" sheetId="9" r:id="rId3"/>
    <sheet name="Bases de dados" sheetId="7" r:id="rId4"/>
    <sheet name="Relevância processo decisório" sheetId="13" r:id="rId5"/>
    <sheet name="Monitoramento de riscos" sheetId="10" r:id="rId6"/>
    <sheet name="Ações de mitigação de riscos" sheetId="11" r:id="rId7"/>
    <sheet name="Produtos financeiros" sheetId="14" r:id="rId8"/>
    <sheet name="Portfólio (setor)" sheetId="12" r:id="rId9"/>
    <sheet name="Portfólio (localização)" sheetId="15" r:id="rId10"/>
    <sheet name="Portfólio (empresa)" sheetId="16" r:id="rId11"/>
    <sheet name="Governança" sheetId="2" r:id="rId12"/>
    <sheet name="Controvérsias" sheetId="5" r:id="rId1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3" l="1"/>
  <c r="D59" i="9" l="1"/>
  <c r="D61" i="9"/>
  <c r="D33" i="9"/>
  <c r="D35" i="9"/>
  <c r="D37" i="9"/>
  <c r="D39" i="9"/>
  <c r="D41" i="9"/>
  <c r="D43" i="9"/>
  <c r="D45" i="9"/>
  <c r="D47" i="9"/>
  <c r="D49" i="9"/>
  <c r="D51" i="9"/>
  <c r="D53" i="9"/>
  <c r="D55" i="9"/>
  <c r="D57" i="9"/>
  <c r="D15" i="9"/>
  <c r="D17" i="9"/>
  <c r="D19" i="9"/>
  <c r="D20" i="9"/>
  <c r="D21" i="9"/>
  <c r="D23" i="9"/>
  <c r="D25" i="9"/>
  <c r="D27" i="9"/>
  <c r="D29" i="9"/>
  <c r="D31" i="9"/>
  <c r="D5" i="9"/>
  <c r="D7" i="9"/>
  <c r="D9" i="9"/>
  <c r="D11" i="9"/>
  <c r="D13" i="9"/>
  <c r="D3" i="9"/>
  <c r="D5" i="8"/>
  <c r="D7" i="8"/>
  <c r="D9" i="8"/>
  <c r="D11" i="8"/>
  <c r="D13" i="8"/>
  <c r="D15" i="8"/>
  <c r="D17" i="8"/>
  <c r="D19" i="8"/>
  <c r="D23" i="8"/>
  <c r="D25" i="8"/>
  <c r="D27" i="8"/>
  <c r="D29" i="8"/>
  <c r="D31" i="8"/>
  <c r="D33" i="8"/>
  <c r="D35" i="8"/>
  <c r="D43" i="8"/>
  <c r="D45" i="8"/>
  <c r="D49" i="8"/>
  <c r="D51" i="8"/>
  <c r="D55" i="8"/>
  <c r="D61" i="8"/>
  <c r="D3" i="8"/>
  <c r="F38" i="14"/>
  <c r="C61" i="1"/>
  <c r="C59" i="1"/>
  <c r="C57" i="1"/>
  <c r="C55" i="1"/>
  <c r="C53" i="1"/>
  <c r="C49" i="1"/>
  <c r="C47" i="1"/>
  <c r="C45" i="1"/>
  <c r="C41" i="1"/>
  <c r="C39" i="1"/>
  <c r="C37" i="1"/>
  <c r="C35" i="1"/>
  <c r="C33" i="1"/>
  <c r="C27" i="1"/>
  <c r="C25" i="1"/>
  <c r="C23" i="1"/>
  <c r="C21" i="1"/>
  <c r="C17" i="1"/>
  <c r="C15" i="1"/>
  <c r="C13" i="1"/>
  <c r="C9" i="1"/>
  <c r="C7" i="1"/>
  <c r="G22" i="5"/>
  <c r="F22" i="5"/>
  <c r="D10" i="12"/>
  <c r="B12" i="12"/>
  <c r="D8" i="12"/>
  <c r="D22" i="12"/>
  <c r="D23" i="12"/>
  <c r="D24" i="12"/>
  <c r="D25" i="12"/>
  <c r="D26" i="12"/>
  <c r="D27" i="12"/>
  <c r="D28" i="12"/>
  <c r="D29" i="12"/>
  <c r="D30" i="12"/>
  <c r="D31" i="12"/>
  <c r="D32" i="12"/>
  <c r="D33" i="12"/>
  <c r="D34" i="12"/>
  <c r="D35" i="12"/>
  <c r="D36" i="12"/>
  <c r="D37" i="12"/>
  <c r="D38" i="12"/>
  <c r="D39" i="12"/>
  <c r="D21" i="12"/>
  <c r="G20" i="11"/>
  <c r="H18" i="11"/>
  <c r="I18" i="11" s="1"/>
  <c r="H16" i="11"/>
  <c r="I16" i="11" s="1"/>
  <c r="H14" i="11"/>
  <c r="I14" i="11" s="1"/>
  <c r="H12" i="11"/>
  <c r="I12" i="11" s="1"/>
  <c r="H10" i="11"/>
  <c r="I10" i="11" s="1"/>
  <c r="H8" i="11"/>
  <c r="I8" i="11" s="1"/>
  <c r="H6" i="11"/>
  <c r="B63" i="8"/>
  <c r="C61" i="8"/>
  <c r="C59" i="8"/>
  <c r="C57" i="8"/>
  <c r="C55" i="8"/>
  <c r="C53" i="8"/>
  <c r="C51" i="8"/>
  <c r="C49" i="8"/>
  <c r="C47" i="8"/>
  <c r="C45" i="8"/>
  <c r="C43" i="8"/>
  <c r="C41" i="8"/>
  <c r="C39" i="8"/>
  <c r="C37" i="8"/>
  <c r="C35" i="8"/>
  <c r="C33" i="8"/>
  <c r="C31" i="8"/>
  <c r="C29" i="8"/>
  <c r="C27" i="8"/>
  <c r="C23" i="8"/>
  <c r="C21" i="8"/>
  <c r="C19" i="8"/>
  <c r="C17" i="8"/>
  <c r="C15" i="8"/>
  <c r="C13" i="8"/>
  <c r="C11" i="8"/>
  <c r="C9" i="8"/>
  <c r="C7" i="8"/>
  <c r="B63" i="9"/>
  <c r="C61" i="9"/>
  <c r="C59" i="9"/>
  <c r="C57" i="9"/>
  <c r="C55" i="9"/>
  <c r="C53" i="9"/>
  <c r="C51" i="9"/>
  <c r="C51" i="1" s="1"/>
  <c r="C49" i="9"/>
  <c r="C47" i="9"/>
  <c r="C45" i="9"/>
  <c r="C43" i="9"/>
  <c r="C43" i="1" s="1"/>
  <c r="C41" i="9"/>
  <c r="C39" i="9"/>
  <c r="C37" i="9"/>
  <c r="C35" i="9"/>
  <c r="C33" i="9"/>
  <c r="C31" i="9"/>
  <c r="C31" i="1" s="1"/>
  <c r="C29" i="9"/>
  <c r="C29" i="1" s="1"/>
  <c r="C27" i="9"/>
  <c r="C25" i="9"/>
  <c r="C23" i="9"/>
  <c r="C21" i="9"/>
  <c r="C19" i="9"/>
  <c r="C19" i="1" s="1"/>
  <c r="C17" i="9"/>
  <c r="C15" i="9"/>
  <c r="C13" i="9"/>
  <c r="C11" i="9"/>
  <c r="C11" i="1" s="1"/>
  <c r="C9" i="9"/>
  <c r="C7" i="9"/>
  <c r="C5" i="9"/>
  <c r="C5" i="1" s="1"/>
  <c r="C3" i="9"/>
  <c r="C3" i="1" s="1"/>
  <c r="H61" i="1"/>
  <c r="H59" i="1"/>
  <c r="H57" i="1"/>
  <c r="H41" i="1"/>
  <c r="D8" i="14"/>
  <c r="K5" i="14" s="1"/>
  <c r="H5" i="1" s="1"/>
  <c r="D9" i="14"/>
  <c r="K7" i="14" s="1"/>
  <c r="H7" i="1" s="1"/>
  <c r="D10" i="14"/>
  <c r="K9" i="14" s="1"/>
  <c r="H9" i="1" s="1"/>
  <c r="D11" i="14"/>
  <c r="D12" i="14"/>
  <c r="K11" i="14" s="1"/>
  <c r="H11" i="1" s="1"/>
  <c r="D13" i="14"/>
  <c r="D14" i="14"/>
  <c r="D15" i="14"/>
  <c r="K15" i="14" s="1"/>
  <c r="H15" i="1" s="1"/>
  <c r="D16" i="14"/>
  <c r="D17" i="14"/>
  <c r="D18" i="14"/>
  <c r="D19" i="14"/>
  <c r="D20" i="14"/>
  <c r="K21" i="14" s="1"/>
  <c r="H21" i="1" s="1"/>
  <c r="D21" i="14"/>
  <c r="K23" i="14" s="1"/>
  <c r="H23" i="1" s="1"/>
  <c r="D22" i="14"/>
  <c r="K25" i="14" s="1"/>
  <c r="H25" i="1" s="1"/>
  <c r="D23" i="14"/>
  <c r="D24" i="14"/>
  <c r="D25" i="14"/>
  <c r="K29" i="14" s="1"/>
  <c r="H29" i="1" s="1"/>
  <c r="D26" i="14"/>
  <c r="K31" i="14" s="1"/>
  <c r="H31" i="1" s="1"/>
  <c r="D27" i="14"/>
  <c r="K33" i="14" s="1"/>
  <c r="H33" i="1" s="1"/>
  <c r="D28" i="14"/>
  <c r="K35" i="14" s="1"/>
  <c r="H35" i="1" s="1"/>
  <c r="D29" i="14"/>
  <c r="K43" i="14" s="1"/>
  <c r="H43" i="1" s="1"/>
  <c r="D30" i="14"/>
  <c r="K45" i="14" s="1"/>
  <c r="H45" i="1" s="1"/>
  <c r="D31" i="14"/>
  <c r="D32" i="14"/>
  <c r="K47" i="14" s="1"/>
  <c r="H47" i="1" s="1"/>
  <c r="D33" i="14"/>
  <c r="K49" i="14" s="1"/>
  <c r="H49" i="1" s="1"/>
  <c r="D34" i="14"/>
  <c r="K51" i="14" s="1"/>
  <c r="H51" i="1" s="1"/>
  <c r="D35" i="14"/>
  <c r="K53" i="14" s="1"/>
  <c r="H53" i="1" s="1"/>
  <c r="D36" i="14"/>
  <c r="K55" i="14" s="1"/>
  <c r="H55" i="1" s="1"/>
  <c r="D7" i="14"/>
  <c r="F86" i="7"/>
  <c r="D86" i="7"/>
  <c r="H20" i="11" l="1"/>
  <c r="I6" i="11"/>
  <c r="K3" i="14"/>
  <c r="K39" i="14"/>
  <c r="H39" i="1" s="1"/>
  <c r="K37" i="14"/>
  <c r="H37" i="1" s="1"/>
  <c r="K27" i="14"/>
  <c r="H27" i="1" s="1"/>
  <c r="K19" i="14"/>
  <c r="H19" i="1" s="1"/>
  <c r="K17" i="14"/>
  <c r="H17" i="1" s="1"/>
  <c r="K13" i="14"/>
  <c r="H13" i="1" s="1"/>
  <c r="H3" i="1"/>
  <c r="G9" i="16" l="1"/>
  <c r="G11" i="16"/>
  <c r="G13" i="16"/>
  <c r="G15" i="16"/>
  <c r="G17" i="16"/>
  <c r="G19" i="16"/>
  <c r="G21" i="16"/>
  <c r="G7" i="16"/>
  <c r="F9" i="15"/>
  <c r="F11" i="15"/>
  <c r="F7" i="15"/>
  <c r="F9" i="12"/>
  <c r="F11" i="12"/>
  <c r="F7" i="12"/>
  <c r="E61" i="1"/>
  <c r="C17" i="10"/>
  <c r="D17" i="10"/>
  <c r="B17" i="10"/>
  <c r="B5" i="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B3" i="1"/>
  <c r="E85" i="7"/>
  <c r="G85" i="7"/>
  <c r="I85" i="7"/>
  <c r="H86" i="7" s="1"/>
  <c r="C85" i="7"/>
  <c r="B86" i="7" s="1"/>
  <c r="C26" i="2"/>
  <c r="D26" i="2"/>
  <c r="B26" i="2"/>
  <c r="C22" i="5"/>
  <c r="D22" i="5"/>
  <c r="B22" i="5"/>
  <c r="G20" i="5"/>
  <c r="E20" i="5"/>
  <c r="G18" i="5"/>
  <c r="E18" i="5"/>
  <c r="G16" i="5"/>
  <c r="E16" i="5"/>
  <c r="G14" i="5"/>
  <c r="E14" i="5"/>
  <c r="G12" i="5"/>
  <c r="E12" i="5"/>
  <c r="G10" i="5"/>
  <c r="E10" i="5"/>
  <c r="G8" i="5"/>
  <c r="E8" i="5"/>
  <c r="G6" i="5"/>
  <c r="E6" i="5"/>
  <c r="G8" i="2"/>
  <c r="G10" i="2"/>
  <c r="G12" i="2"/>
  <c r="G14" i="2"/>
  <c r="G16" i="2"/>
  <c r="G18" i="2"/>
  <c r="G20" i="2"/>
  <c r="G22" i="2"/>
  <c r="G24" i="2"/>
  <c r="E8" i="2"/>
  <c r="E10" i="2"/>
  <c r="E12" i="2"/>
  <c r="E14" i="2"/>
  <c r="E16" i="2"/>
  <c r="E18" i="2"/>
  <c r="E20" i="2"/>
  <c r="E22" i="2"/>
  <c r="E24" i="2"/>
  <c r="E6" i="2"/>
  <c r="G6" i="2"/>
  <c r="F25" i="2"/>
  <c r="N2" i="1"/>
  <c r="O63" i="1"/>
  <c r="H63" i="1"/>
  <c r="J86" i="7" l="1"/>
  <c r="G22" i="16"/>
  <c r="K61" i="1"/>
  <c r="K59" i="1"/>
  <c r="K43" i="1"/>
  <c r="K27" i="1"/>
  <c r="K11" i="1"/>
  <c r="K37" i="1"/>
  <c r="K51" i="1"/>
  <c r="K19" i="1"/>
  <c r="K49" i="1"/>
  <c r="K57" i="1"/>
  <c r="K41" i="1"/>
  <c r="K25" i="1"/>
  <c r="K9" i="1"/>
  <c r="K39" i="1"/>
  <c r="K23" i="1"/>
  <c r="K7" i="1"/>
  <c r="K53" i="1"/>
  <c r="K21" i="1"/>
  <c r="K5" i="1"/>
  <c r="K35" i="1"/>
  <c r="K3" i="1"/>
  <c r="K33" i="1"/>
  <c r="K47" i="1"/>
  <c r="K31" i="1"/>
  <c r="K15" i="1"/>
  <c r="K45" i="1"/>
  <c r="K29" i="1"/>
  <c r="K13" i="1"/>
  <c r="K55" i="1"/>
  <c r="K17" i="1"/>
  <c r="F13" i="15"/>
  <c r="F13" i="12"/>
  <c r="I45" i="1" s="1"/>
  <c r="E55" i="1"/>
  <c r="E9" i="1"/>
  <c r="E15" i="1"/>
  <c r="E31" i="1"/>
  <c r="E47" i="1"/>
  <c r="E33" i="1"/>
  <c r="E3" i="1"/>
  <c r="E35" i="1"/>
  <c r="E5" i="1"/>
  <c r="E37" i="1"/>
  <c r="E23" i="1"/>
  <c r="E25" i="1"/>
  <c r="E41" i="1"/>
  <c r="E57" i="1"/>
  <c r="E11" i="1"/>
  <c r="E27" i="1"/>
  <c r="E43" i="1"/>
  <c r="E59" i="1"/>
  <c r="E17" i="1"/>
  <c r="E49" i="1"/>
  <c r="E19" i="1"/>
  <c r="E51" i="1"/>
  <c r="E21" i="1"/>
  <c r="E53" i="1"/>
  <c r="E7" i="1"/>
  <c r="E39" i="1"/>
  <c r="E13" i="1"/>
  <c r="E29" i="1"/>
  <c r="E45" i="1"/>
  <c r="C63" i="1"/>
  <c r="B63" i="1"/>
  <c r="G25" i="2"/>
  <c r="M3" i="1"/>
  <c r="I13" i="1" l="1"/>
  <c r="I29" i="1"/>
  <c r="I39" i="1"/>
  <c r="I55" i="1"/>
  <c r="I23" i="1"/>
  <c r="I7" i="1"/>
  <c r="E63" i="1"/>
  <c r="K63" i="1"/>
  <c r="J61" i="1"/>
  <c r="J47" i="1"/>
  <c r="J31" i="1"/>
  <c r="J15" i="1"/>
  <c r="J45" i="1"/>
  <c r="J29" i="1"/>
  <c r="J13" i="1"/>
  <c r="J59" i="1"/>
  <c r="J43" i="1"/>
  <c r="J27" i="1"/>
  <c r="J11" i="1"/>
  <c r="J57" i="1"/>
  <c r="J41" i="1"/>
  <c r="J25" i="1"/>
  <c r="J9" i="1"/>
  <c r="J55" i="1"/>
  <c r="J39" i="1"/>
  <c r="J7" i="1"/>
  <c r="J53" i="1"/>
  <c r="J37" i="1"/>
  <c r="J21" i="1"/>
  <c r="J5" i="1"/>
  <c r="J51" i="1"/>
  <c r="J19" i="1"/>
  <c r="J49" i="1"/>
  <c r="J17" i="1"/>
  <c r="J23" i="1"/>
  <c r="J35" i="1"/>
  <c r="J3" i="1"/>
  <c r="J33" i="1"/>
  <c r="I61" i="1"/>
  <c r="I59" i="1"/>
  <c r="I37" i="1"/>
  <c r="I17" i="1"/>
  <c r="I3" i="1"/>
  <c r="I57" i="1"/>
  <c r="I35" i="1"/>
  <c r="I15" i="1"/>
  <c r="I47" i="1"/>
  <c r="I43" i="1"/>
  <c r="I41" i="1"/>
  <c r="I53" i="1"/>
  <c r="I33" i="1"/>
  <c r="I11" i="1"/>
  <c r="I21" i="1"/>
  <c r="I51" i="1"/>
  <c r="I31" i="1"/>
  <c r="I9" i="1"/>
  <c r="I25" i="1"/>
  <c r="I19" i="1"/>
  <c r="I49" i="1"/>
  <c r="I27" i="1"/>
  <c r="I5" i="1"/>
  <c r="G61" i="1"/>
  <c r="G47" i="1"/>
  <c r="G31" i="1"/>
  <c r="G15" i="1"/>
  <c r="G45" i="1"/>
  <c r="G13" i="1"/>
  <c r="G35" i="1"/>
  <c r="G49" i="1"/>
  <c r="G29" i="1"/>
  <c r="G19" i="1"/>
  <c r="G17" i="1"/>
  <c r="G59" i="1"/>
  <c r="G43" i="1"/>
  <c r="G27" i="1"/>
  <c r="G11" i="1"/>
  <c r="G51" i="1"/>
  <c r="G57" i="1"/>
  <c r="G41" i="1"/>
  <c r="G25" i="1"/>
  <c r="G9" i="1"/>
  <c r="G33" i="1"/>
  <c r="G55" i="1"/>
  <c r="G39" i="1"/>
  <c r="G23" i="1"/>
  <c r="G7" i="1"/>
  <c r="G3" i="1"/>
  <c r="G53" i="1"/>
  <c r="G37" i="1"/>
  <c r="G21" i="1"/>
  <c r="G5" i="1"/>
  <c r="F61" i="1"/>
  <c r="F47" i="1"/>
  <c r="F31" i="1"/>
  <c r="F15" i="1"/>
  <c r="F25" i="1"/>
  <c r="F7" i="1"/>
  <c r="F21" i="1"/>
  <c r="F19" i="1"/>
  <c r="F17" i="1"/>
  <c r="F45" i="1"/>
  <c r="F29" i="1"/>
  <c r="F13" i="1"/>
  <c r="F41" i="1"/>
  <c r="F39" i="1"/>
  <c r="F37" i="1"/>
  <c r="F5" i="1"/>
  <c r="F51" i="1"/>
  <c r="F33" i="1"/>
  <c r="F59" i="1"/>
  <c r="F43" i="1"/>
  <c r="F27" i="1"/>
  <c r="F11" i="1"/>
  <c r="F9" i="1"/>
  <c r="F23" i="1"/>
  <c r="F53" i="1"/>
  <c r="F35" i="1"/>
  <c r="F3" i="1"/>
  <c r="F49" i="1"/>
  <c r="F57" i="1"/>
  <c r="F55" i="1"/>
  <c r="D61" i="1"/>
  <c r="D45" i="1"/>
  <c r="D29" i="1"/>
  <c r="D13" i="1"/>
  <c r="D31" i="1"/>
  <c r="D59" i="1"/>
  <c r="D43" i="1"/>
  <c r="D27" i="1"/>
  <c r="D11" i="1"/>
  <c r="D9" i="1"/>
  <c r="D39" i="1"/>
  <c r="D23" i="1"/>
  <c r="D57" i="1"/>
  <c r="D41" i="1"/>
  <c r="D25" i="1"/>
  <c r="D7" i="1"/>
  <c r="D37" i="1"/>
  <c r="D21" i="1"/>
  <c r="D5" i="1"/>
  <c r="D51" i="1"/>
  <c r="D19" i="1"/>
  <c r="D3" i="1"/>
  <c r="D33" i="1"/>
  <c r="D17" i="1"/>
  <c r="D47" i="1"/>
  <c r="D55" i="1"/>
  <c r="D35" i="1"/>
  <c r="D49" i="1"/>
  <c r="D53" i="1"/>
  <c r="D15" i="1"/>
  <c r="M37" i="1"/>
  <c r="M21" i="1"/>
  <c r="M33" i="1"/>
  <c r="M35" i="1"/>
  <c r="M51" i="1"/>
  <c r="M39" i="1"/>
  <c r="M61" i="1"/>
  <c r="M13" i="1"/>
  <c r="M41" i="1"/>
  <c r="M49" i="1"/>
  <c r="M15" i="1"/>
  <c r="M57" i="1"/>
  <c r="M55" i="1"/>
  <c r="M11" i="1"/>
  <c r="M31" i="1"/>
  <c r="M9" i="1"/>
  <c r="M29" i="1"/>
  <c r="M19" i="1"/>
  <c r="M43" i="1"/>
  <c r="M27" i="1"/>
  <c r="M25" i="1"/>
  <c r="M17" i="1"/>
  <c r="M23" i="1"/>
  <c r="M45" i="1"/>
  <c r="M59" i="1"/>
  <c r="M53" i="1"/>
  <c r="M47" i="1"/>
  <c r="M7" i="1"/>
  <c r="M5" i="1"/>
  <c r="L61" i="1"/>
  <c r="L45" i="1"/>
  <c r="L29" i="1"/>
  <c r="L13" i="1"/>
  <c r="L33" i="1"/>
  <c r="L47" i="1"/>
  <c r="N47" i="1" s="1"/>
  <c r="P47" i="1" s="1"/>
  <c r="L15" i="1"/>
  <c r="L59" i="1"/>
  <c r="L43" i="1"/>
  <c r="L27" i="1"/>
  <c r="L11" i="1"/>
  <c r="L19" i="1"/>
  <c r="L57" i="1"/>
  <c r="L41" i="1"/>
  <c r="L25" i="1"/>
  <c r="L9" i="1"/>
  <c r="L49" i="1"/>
  <c r="L55" i="1"/>
  <c r="L39" i="1"/>
  <c r="L23" i="1"/>
  <c r="L7" i="1"/>
  <c r="L35" i="1"/>
  <c r="L3" i="1"/>
  <c r="L17" i="1"/>
  <c r="L53" i="1"/>
  <c r="L37" i="1"/>
  <c r="L21" i="1"/>
  <c r="L5" i="1"/>
  <c r="L31" i="1"/>
  <c r="L51" i="1"/>
  <c r="J63" i="1" l="1"/>
  <c r="I63" i="1"/>
  <c r="N11" i="1"/>
  <c r="P11" i="1" s="1"/>
  <c r="G63" i="1"/>
  <c r="N21" i="1"/>
  <c r="P21" i="1" s="1"/>
  <c r="F63" i="1"/>
  <c r="N37" i="1"/>
  <c r="P37" i="1" s="1"/>
  <c r="N39" i="1"/>
  <c r="P39" i="1" s="1"/>
  <c r="N49" i="1"/>
  <c r="P49" i="1" s="1"/>
  <c r="N29" i="1"/>
  <c r="P29" i="1" s="1"/>
  <c r="N55" i="1"/>
  <c r="P55" i="1" s="1"/>
  <c r="N43" i="1"/>
  <c r="P43" i="1" s="1"/>
  <c r="N27" i="1"/>
  <c r="P27" i="1" s="1"/>
  <c r="N53" i="1"/>
  <c r="P53" i="1" s="1"/>
  <c r="N59" i="1"/>
  <c r="P59" i="1" s="1"/>
  <c r="N15" i="1"/>
  <c r="P15" i="1" s="1"/>
  <c r="N41" i="1"/>
  <c r="P41" i="1" s="1"/>
  <c r="D63" i="1"/>
  <c r="N17" i="1"/>
  <c r="P17" i="1" s="1"/>
  <c r="N35" i="1"/>
  <c r="P35" i="1" s="1"/>
  <c r="N57" i="1"/>
  <c r="P57" i="1" s="1"/>
  <c r="N33" i="1"/>
  <c r="P33" i="1" s="1"/>
  <c r="N61" i="1"/>
  <c r="P61" i="1" s="1"/>
  <c r="N25" i="1"/>
  <c r="P25" i="1" s="1"/>
  <c r="N9" i="1"/>
  <c r="P9" i="1" s="1"/>
  <c r="N51" i="1"/>
  <c r="P51" i="1" s="1"/>
  <c r="N31" i="1"/>
  <c r="P31" i="1" s="1"/>
  <c r="N19" i="1"/>
  <c r="P19" i="1" s="1"/>
  <c r="N13" i="1"/>
  <c r="P13" i="1" s="1"/>
  <c r="M63" i="1"/>
  <c r="N23" i="1"/>
  <c r="P23" i="1" s="1"/>
  <c r="N7" i="1"/>
  <c r="P7" i="1" s="1"/>
  <c r="N5" i="1"/>
  <c r="P5" i="1" s="1"/>
  <c r="N45" i="1"/>
  <c r="P45" i="1" s="1"/>
  <c r="N3" i="1"/>
  <c r="P3" i="1" s="1"/>
  <c r="L63" i="1"/>
  <c r="P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tc={8DE2772B-C5CA-4E7C-90DC-0365064001F4}</author>
  </authors>
  <commentList>
    <comment ref="E31" authorId="0" shapeId="0" xr:uid="{8DE2772B-C5CA-4E7C-90DC-0365064001F4}">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Indústria de material Elétrico, Eletrônico e Comunicações ?
Reply:
    Gabriel, não me parece ser o caso (veja a definição dessa indústria). O fato é que depende muito tb de qual é a matriz energética... e a norma não traz mesmo produção/distribuição/transmissão de energia, já chequei. Um amigo com grande experiência na área ambiental me informou que, na realidade, cada Estado tem sua própria classificação. Vou olhar todos esses casos que vc colocou em vermelho com calma, OK!
Reply:
    OK, obrigado, Lu!
</t>
        </r>
      </text>
    </comment>
  </commentList>
</comments>
</file>

<file path=xl/sharedStrings.xml><?xml version="1.0" encoding="utf-8"?>
<sst xmlns="http://schemas.openxmlformats.org/spreadsheetml/2006/main" count="488" uniqueCount="306">
  <si>
    <t>TEMAS</t>
  </si>
  <si>
    <t>Presença nas Políticas/diretrizes ou adesão a compromisso voluntário; políticas temáticas (0 a 100)</t>
  </si>
  <si>
    <t>Existência e profundidade de políticas por setor econômico ou commodity (0 a 100)</t>
  </si>
  <si>
    <t>Suficiência das bases de dados consultadas para empresas financiadas via crédito (inclusive cadeia de produção, quando relevante) (0 a 100)</t>
  </si>
  <si>
    <t>Relevância no processo decisório evidenciada (negativa de crédito) (0 a 100)</t>
  </si>
  <si>
    <t>Monitoramento de riscos (frequência e abrangência) (0 a 100)</t>
  </si>
  <si>
    <t>Ações de mitigação de riscos adotadas na concessão de créditos (0 a 100)</t>
  </si>
  <si>
    <t>Produtos/serviços com impacto ambiental e/ou social positivo – bancos  (0 a 100)</t>
  </si>
  <si>
    <t>Riscos socioambientais no portfólio de crédito – critério setor econômico (somente para bancos)  (0 a 100)</t>
  </si>
  <si>
    <t>Riscos socioambientais no portfólio – critério localização das atividades financiadas via crédito (exceto crédito rural) (0 a 100)</t>
  </si>
  <si>
    <t>Riscos e impactos socioambientais no portfólio de crédito – critério avaliação das empresas (0 a 100)</t>
  </si>
  <si>
    <t>Governança da Sustentabilidade (0 a 100)</t>
  </si>
  <si>
    <t>Envolvimento em controvérsias negativas – redução de pontuação (0 a 100)</t>
  </si>
  <si>
    <t>TOTAL</t>
  </si>
  <si>
    <t>PESO DO TEMA</t>
  </si>
  <si>
    <t>NOTA PONDERADA DO TEMA</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</si>
  <si>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</si>
  <si>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</si>
  <si>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</si>
  <si>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</si>
  <si>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</si>
  <si>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</si>
  <si>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</si>
  <si>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</si>
  <si>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</si>
  <si>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</si>
  <si>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</si>
  <si>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</si>
  <si>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</si>
  <si>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</si>
  <si>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</si>
  <si>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</si>
  <si>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</si>
  <si>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</si>
  <si>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</si>
  <si>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</si>
  <si>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</si>
  <si>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</si>
  <si>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</si>
  <si>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</si>
  <si>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</si>
  <si>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</si>
  <si>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</si>
  <si>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</si>
  <si>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</si>
  <si>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</si>
  <si>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Presença na Política ou adesão a compromisso voluntário (0 a 3)</t>
  </si>
  <si>
    <t>Total Ponderado</t>
  </si>
  <si>
    <t>Na Norma de RSAC, pg. 3, cita aplicação de critérios nas operações de crédito, garantias, investimentos; No documento Gestão de Mudanças Climáticas no Bradesco, pg. 6, diferencia riscos físicos agudos e crônicos e comenta o status da implementação da Estratégia de Sustentabilidade, pg. 24, ao estabelecer cenários que indicam piora de rating de crédito para setores econômicos em que o Banco atua; além disso, integra o CDP, TCFD e PCAF.</t>
  </si>
  <si>
    <t>No documento Gestão de Mudanças Climáticas, pg. 14, consta: "Soluções Financeiras que apoiem padrões de consumo e produção com menos geração de carbono e mais resiliência aos impactos climáticos." Em seguida, destaca 8 Setores chave: biocombustíveis, agricultura de baixo carbono, energia renovável, saneamento e água, manejo florestal e gestão de resíduos."; além disso, integra o CDP, TCFD e PCAF.</t>
  </si>
  <si>
    <t>Tem compromisso com o CDP, TCFD e PCAF.</t>
  </si>
  <si>
    <t>Na Norma de Risco Socioambiental, seção Operações de Crédito e Financiamento, subseção Projetos enquadrados em Princípios do Equador, pg. 2, cita de forma genérica: "Aplicações dos padrões de desempenho da IFC e das Diretrizes de Saúde, Segurança e Meio Ambiente do Banco Mundial, aos projetos que financia dentro do escopo estabelecido pelo compromisso, sendo abordadas questões sobre Direitos Humanos, Biodiversidade, Mudanças Climáticas, Populações Tradicionais (quilombolas, pescadores artesanais, ribeirinhos)."  além disso, integra o CDP e os Princípios do Equador</t>
  </si>
  <si>
    <t>Tem compromisso com os Princípios do Equador.</t>
  </si>
  <si>
    <t>Na Norma de RSAC, pg.2, comenta os pilares da Estratégia de Sustentabilidade: "Garantir a adoção de práticas de negócio que estejam alinhadas com a proteção do meio ambiente e elevação do desempenho ambiental, otimizando o uso de recursos naturais e atentando para os riscos e oportunidades advindos dos aspectos ambientais significativos, incluindo as mudanças climáticas."</t>
  </si>
  <si>
    <t>Na Norma de Risco Socioambiental, pg. 2, consta na seção Análise de riscos pré-existentes: "operações de créditos de clientes que atuam com setores controversos e/ou com significativo potencial de geração de impacto socioambiental, independente do valor da operação de crédito”. "Sempre que há indícios de envolvimento do cliente com trabalho força ou análogo ao de escravo"; na seção Setores Sensíveis e Apontamentos Socioambientais, pg. 2, consta: "A Organização possui diretrizes impeditivas de relacionamento para pessoas físicas ou jurídicas comprovadamente envolvidas com a utilização de mão de obra análoga à escrava, mão de obra infantil ou exploração criminosa da prostituição, e também relacionadas ao garimpo ilegal, extração, industrialização e comercialização de amianto e fabricação e comercialização de equipamentos bélicos pesados."; além disso, integra o Pacto Global (ONU).</t>
  </si>
  <si>
    <t>Na Norma de Risco Socioambiental, pg. 2, apresenta na seção Análise de riscos pré-existentes: "operações de créditos de clientes que atuam com setores controversos e/ou com significativo potencial de geração de impacto socioambiental, independente do valor da operação de crédito”; na seção Setores Sensíveis e Apontamentos Socioambientais: "A Organização possui diretrizes impeditivas de relacionamento para pessoas físicas ou jurídicas comprovadamente envolvidas com a utilização de mão de obra análoga à escrava, mão de obra infantil ou exploração criminosa da prostituição, e também relacionadas ao garimpo ilegal, extração, industrialização e comercialização de amianto e fabricação e comercialização de equipamentos bélicos pesados."; além disso, integra o Pacto Global (ONU)</t>
  </si>
  <si>
    <t xml:space="preserve">Na Norma de Risco Socioambiental, pg. 2, seção Operações de Crédito e Financiamento, consta: "Serão considerados projetos de alto risco (na análise de risco socioambiental) que estejam dentro de Terras Indígenas, unidades de conservação ou áreas de patrimônio histórico e cultural protegidas por lei ou por organização internacional”. Outras comunidades tradicionais (como quilombolas) não são mencionadas; além disso, integra os Princípios do Equador </t>
  </si>
  <si>
    <t>Tem compromisso com os Women Empowerment Principles/ Pacto Global</t>
  </si>
  <si>
    <t/>
  </si>
  <si>
    <t>Tem compromisso com o Pacto Global, a Iniciativa Empresarial pela Igualdade Racial, a Coalizão Empresarial para Equidade Racial e o Fórum de Empresas e Direitos LGBTQI+)</t>
  </si>
  <si>
    <t>Na Norma de Risco Socioambiental, pg. 2, seção Operações de Crédito e Financiamento: "Serão considerados projetos de alto risco (na análise de risco socioambiental) que estejam dentro de Terras Indígenas, unidades de conservação ou áreas de patrimônio histórico e cultural protegidas por lei ou por organização internacional”; além disso, integra os Princípios do Equador.</t>
  </si>
  <si>
    <t>Tem compromisso com o Pacto Global</t>
  </si>
  <si>
    <t>Inclusão em política setorial (0 a 7)</t>
  </si>
  <si>
    <t xml:space="preserve">Na Norma de Risco Socioambiental, pg. 3, consideram "Projetos setoriais" os setores Mineração e Ferro-Gusa, com valor de operação a partir de R$ 25 milhões; seção "Análise de Riscos Pré-existentes": setores controversos e/ou com significativo potencial de geração de impacto socioambiental;  seção"Setores sensíveis e Apontamentos Socioambientais": são aplicadas diretrizes restritivas para concessão de crédito para pessoas físicas e jurídicas que atuam nas atividades de extração de carvão mineral, extração e beneficiamento de xisto e areias betuminosas, industrialização e comercialização de urânio, termelétrica a carvão, pesca de arrasto nos oceanos com redes maiores que 2,5 km comprimento, construção de projetos imobiliários sobrepostos a terras indígenas e atividades de criação de bovinos, frigoríficos, abatedouros, cultivos agrícolas e produção florestal com infrações relacionadas a desmatamento ilegal."; subseção de "Operações de garantias imobiliárias": "deverão ser submetidos à análise de risco socioambiental imóveis rurais com restrições socioambientais, e valor de liquidez a partir de R$10 milhões e imóveis urbanos com indícios de contaminação, independentemente do valor da garantia, que envolvam áreas industriais; galpões com armazenamento de material potencialmente contaminante; imóveis com tanques de combustíveis; e, terrenos livres em grandes centros urbanos." No doc. Gestão e Engajamento ASG, pg. 8, cita na aba 'concessão de crédito e financiamento' a subseção 'Agronegócio': "estrutura específica para oferecer as melhores soluções aos nossos clientes, além de participar e apoiar o aprimoramento das práticas socioambientais desse setor"; </t>
  </si>
  <si>
    <t>Não consta em qualquer política setorial</t>
  </si>
  <si>
    <t>Na Norma de Risco Socioambiental, pg. 14, seção "Setores sensíveis e Apontamentos Socioambientais", consta: "são aplicadas diretrizes restritivas para concessão de crédito para pessoas físicas e jurídicas que atuam nas atividades de extração de carvão mineral, extração e beneficiamento de xisto e areias betuminosas, industrialização e comercialização de urânio, termelétrica a carvão."</t>
  </si>
  <si>
    <t>Não é tratado nas políticas setoriais.</t>
  </si>
  <si>
    <t>No doc. Gestão e Engajamento ASG, pg. 8, cita na aba 'concessão de crédito e financiamento', subseção 'Agronegócio': "Esse sistema produtivo (Rede ILPF) busca compatibilizar as produções agrícola, pecuária e florestal numa mesma área. Isso geraria para os nossos clientes maior diversificação produtiva, receitas adicionais e menor pressão por expansão, para o meio-ambiente geraria níveis inferiores de degradação do solo, além de mitigar a geração de carbono na produção." Consta tb: "Programa Agricultura de Baixo Carbono, onde são oferecidas condições diferenciadas para que proprietários rurais realizem a recuperação de pastagens e florestas e a adoção de tecnologias de produção que contribuam para a redução das emissões de carbono, aliando práticas de conservação e resultado econômico."</t>
  </si>
  <si>
    <t xml:space="preserve">No doc. Norma de Risco Socioambiental, pg. 2, na seção "Setores sensíveis e Apontamentos Socioambientais": "são aplicadas diretrizes restritivas para concessão de crédito para pessoas físicas e jurídicas que atuam nas atividades de [...] pesca de arrasto nos oceanos com redes maiores que 2,5 km comprimento" - Cita atividade com maior impacto na poluição marítima. </t>
  </si>
  <si>
    <t>No doc. Gestão e Engajamento ASG, pg. 8, na aba 'concessão de crédito e financiamento', subseção 'Agronegócio', consta: "Programa Agricultura de Baixo Carbono, onde são oferecidas condições diferenciadas para que proprietários rurais realizem a recuperação de pastagens e florestas e a adoção de tecnologias de produção que contribuam para a redução das emissões de carbono, aliando práticas de conservação e resultado econômico."</t>
  </si>
  <si>
    <t>No doc. Práticas de Gestão e Engajamento Socioambiental no Bradesco, pg. 5, consta: "Esse escopo inclui a avaliação de concessão de crédito para clientes que atuam em setores com potencial impacto socioambiental e possuem exposição de crédito relevante. Para essa avaliação, aplicamos um questionário que aborda aspectos ambientais, sociais e de governança, tais como impacto à biodiversidade e a comunidades tradicionais, trabalho análogo ao escravo, trabalho infantil, exploração sexual, conformidade legal, mudanças climáticas e saúde e segurança ocupacional.  SASB FN-CB-410a.2" - Não menciona os setores com potencial impacto socioambiental.</t>
  </si>
  <si>
    <t>No doc. Práticas de Gestão e Engajamento Socioambiental no Bradesco, pg. 5, consta: "Esse escopo inclui a avaliação de concessão de crédito para clientes que atuam em setores com potencial impacto socioambiental e possuem exposição de crédito relevante. Para essa avaliação, aplicamos um questionário que aborda aspectos ambientais, sociais e de governança, tais como impacto à biodiversidade e a comunidades tradicionais, trabalho análogo ao escravo, trabalho infantil, exploração sexual, conformidade legal, mudanças climáticas e saúde e segurança ocupacional.  SASB FN-CB-410a.2" - Cita todos os setores com potencial impacto socioambiental.</t>
  </si>
  <si>
    <t>ABRANGÊNCIA DO USO</t>
  </si>
  <si>
    <t>BASE DE DADOS</t>
  </si>
  <si>
    <t>Todos os setores econômicos sujeitos a licenciamento ambiental - até 20 pontos</t>
  </si>
  <si>
    <t>Peso</t>
  </si>
  <si>
    <t>Apenas setores econômicos com maior risco socioambiental
(médio ou alto) - até 15 pontos</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</si>
  <si>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</si>
  <si>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(coluna aplicável apenas a Ifs que concedem
crédito) - até 4 pontos</t>
  </si>
  <si>
    <t>Licenciamento ambiental vigente</t>
  </si>
  <si>
    <r>
      <rPr>
        <sz val="11"/>
        <color rgb="FF000000"/>
        <rFont val="Calibri"/>
      </rPr>
      <t xml:space="preserve">No Relatório, pg. 55, consta: "Para financiamentos de projetos, são aplicados </t>
    </r>
    <r>
      <rPr>
        <i/>
        <sz val="11"/>
        <color rgb="FF000000"/>
        <rFont val="Calibri"/>
      </rPr>
      <t xml:space="preserve">checklists </t>
    </r>
    <r>
      <rPr>
        <sz val="11"/>
        <color rgb="FF000000"/>
        <rFont val="Calibri"/>
      </rPr>
      <t xml:space="preserve">setoriais nos quais são definidos os documentos necessários para avaliação de risco socioambiental, como licenças e estudos ambientais." </t>
    </r>
  </si>
  <si>
    <t>Relatórios ambientais anuais de empresas inscritas no Cadastro Técnico Federal de Atividades Potencialmente Poluidoras</t>
  </si>
  <si>
    <t>Cumprimento das condicionantes – verificação junto à empresa</t>
  </si>
  <si>
    <t>Prática de infrações – órgão ambiental estadual</t>
  </si>
  <si>
    <t>Áreas embargadas – órgão ambiental estadual/DF</t>
  </si>
  <si>
    <t>Autorizações para supressão de vegetação (sempre que apurado desmatamento recente) – órgãos ambientais estaduais (ou municipais, qdo. for o caso)</t>
  </si>
  <si>
    <t>Prática de infrações – órgãos ambientais federais</t>
  </si>
  <si>
    <t>Áreas embargadas pelo IBAMA ou ICMBio</t>
  </si>
  <si>
    <t>No Relatório, pg. 55, consta: "independentemente da modalidade de crédito, identificamos situações específicas por meio de georreferenciamento, tanto na área de localização do imóvel quanto no seu entorno, como: existência de desmatamento de áreas de preservação permanente ou de proteção e recuperação de mananciais, unidade de conservação, [...] Além disso, verificamos se o imóvel está inserido em listas públicas de áreas contaminadas e de áreas embargadas ou autuações lavradas pelo Ibama e pelo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</si>
  <si>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</si>
  <si>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</si>
  <si>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</si>
  <si>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</si>
  <si>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</si>
  <si>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</si>
  <si>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</si>
  <si>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</si>
  <si>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No Relatório, pg. 55, consta: "Além do questionário, também avaliamos estudos ambientais, pesquisas em mídias e consultas a bancos de dados internos e públicos, tais como o Cadastro de Empregadores que tenham submetido trabalhadores a condições análogas à de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</si>
  <si>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</si>
  <si>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</si>
  <si>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</si>
  <si>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</si>
  <si>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</si>
  <si>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</si>
  <si>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</si>
  <si>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</si>
  <si>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</si>
  <si>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</si>
  <si>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t>
  </si>
  <si>
    <t>Dados da própria empresa relativos ao uso de matéria-prima</t>
  </si>
  <si>
    <t>Dados da própria empresa relativos a riscos ambientais na cadeia de produção/valor</t>
  </si>
  <si>
    <t>Dados da própria empresa relativos a riscos sociais na cadeia de produção/valor</t>
  </si>
  <si>
    <t>PROCONs ou bases de dados do Ministério da Justiça em matéria de consumo</t>
  </si>
  <si>
    <t>Bases de dados do CADE (concorrência)</t>
  </si>
  <si>
    <t>Entes encarregados de zelar pela sanidade animal ou vegetal (para setores relevantes)</t>
  </si>
  <si>
    <t>Vigilância sanitária (para setores relevantes)</t>
  </si>
  <si>
    <t>Imprensa</t>
  </si>
  <si>
    <t>Mídias online em geral</t>
  </si>
  <si>
    <t>No Relatório, p. 55, consta: "Além do questionário, também avaliamos estudos ambientais, pesquisas em mídias e consultas a bancos de dados internos e públicos."</t>
  </si>
  <si>
    <t>Organizações da sociedade civil relevantes</t>
  </si>
  <si>
    <t>Mecanismo de recebimento de queixas</t>
  </si>
  <si>
    <t>Inspeções no local</t>
  </si>
  <si>
    <t>Contratação de auditoria socioambiental</t>
  </si>
  <si>
    <t>TOTAL PONDERADO DA COLUNA</t>
  </si>
  <si>
    <t>(de 0 a 100)</t>
  </si>
  <si>
    <t xml:space="preserve">Percentual de operações em que houve negativa de crédito, suspensão de parcelas ou vencimento antecipado de operações tendo como principal razão os riscos socioambientais nos últimos 2 anos </t>
  </si>
  <si>
    <t>Grau de Relevância</t>
  </si>
  <si>
    <t>Baixo - 0 ou 1 ponto</t>
  </si>
  <si>
    <t>Médio - 2 ou 3 pontos</t>
  </si>
  <si>
    <t>Alto - 4 ou 5 pontos</t>
  </si>
  <si>
    <t>*ver critério de adoção de nota na metodologia</t>
  </si>
  <si>
    <t>0 a 2%</t>
  </si>
  <si>
    <t>2 a 8%</t>
  </si>
  <si>
    <t>Maior que 8%</t>
  </si>
  <si>
    <t>Total</t>
  </si>
  <si>
    <t xml:space="preserve">Universo de operações ou de empresas </t>
  </si>
  <si>
    <t xml:space="preserve">Frequência </t>
  </si>
  <si>
    <t xml:space="preserve">Todos os setores econômicos sujeitos a licenciamento ambiental (peso de 30%) </t>
  </si>
  <si>
    <t>Setores econômicos com risco médio ou alto  (peso de 50%)</t>
  </si>
  <si>
    <t xml:space="preserve">Apenas operações ou clientes/investimentos acima de um certo patamar financeiro – inclusive Project Finance  (peso de 20%) </t>
  </si>
  <si>
    <t>* consultar a metodologia para atribuição de notas</t>
  </si>
  <si>
    <t>Semestral ou menor</t>
  </si>
  <si>
    <t>Anual</t>
  </si>
  <si>
    <t>Bienal</t>
  </si>
  <si>
    <t>Apenas quando tem conhecimento de novo fato relevante</t>
  </si>
  <si>
    <t>Não adota</t>
  </si>
  <si>
    <t>Não há informações disponíveis</t>
  </si>
  <si>
    <t>(nota de 0 a 100</t>
  </si>
  <si>
    <r>
      <rPr>
        <sz val="10"/>
        <color rgb="FF000000"/>
        <rFont val="Calibri"/>
      </rPr>
      <t xml:space="preserve">Relatório, p. 54-55, não deixa claro quais projetos e a frequÊncia do monitoramento. Apenas diz  "Incorporamos à nossa carteira de monitoramento os projetos que apresentam </t>
    </r>
    <r>
      <rPr>
        <sz val="10"/>
        <color rgb="FFFF0000"/>
        <rFont val="Calibri"/>
      </rPr>
      <t>potenciais impactos relevantes</t>
    </r>
    <r>
      <rPr>
        <sz val="10"/>
        <color rgb="FF000000"/>
        <rFont val="Calibri"/>
      </rPr>
      <t xml:space="preserve">. Para esses casos, solicitamos a elaboração de planos de ação e incluímos cláusulas contratuais socioambientais específicas[...] o caso de descumprimento do plano de ação e/ou das cláusulas contratuais socioambientais, nos é facultado o direito de determinar o bloqueio da liberação do recurso financeiro ou </t>
    </r>
    <r>
      <rPr>
        <sz val="10"/>
        <color rgb="FFFF0000"/>
        <rFont val="Calibri"/>
      </rPr>
      <t>até mesmo a liquidação antecipada do contrato</t>
    </r>
    <r>
      <rPr>
        <sz val="10"/>
        <color rgb="FF000000"/>
        <rFont val="Calibri"/>
      </rPr>
      <t xml:space="preserve">."; conforme aponta o Framework, os projetos que recebem cláusulas socioambientais específicas são "Financiamento de projetos novos, ampliações ou modernizações com valor igual ou superior a R$ 150 milhões" e " Financiamento de projetos imobiliários novos ou ampliações com valor igual ou superior a R$ 30 milhões e inferior a R$ 150 milhões" </t>
    </r>
  </si>
  <si>
    <t>Abrangência</t>
  </si>
  <si>
    <t>AÇÃO ADOTADA</t>
  </si>
  <si>
    <t>Todos os setores econômicos sujeitos a licenciamento ambiental - até 10 pontos</t>
  </si>
  <si>
    <t>Apenas setores econômicos com maior risco socioambiental  - até 8 pontos</t>
  </si>
  <si>
    <t>Apenas operações ou clientes acima de certo patamar financeiro (nesse caso, indicar o percentual dentre os valores destinados a empresas de setores sujeitos a licenciamento) - até 5 pontos</t>
  </si>
  <si>
    <t>Não adota - 0 pontos</t>
  </si>
  <si>
    <t xml:space="preserve">Apenas Project Finance - até 2 pontos  </t>
  </si>
  <si>
    <t xml:space="preserve">Repercussão do nível de risco nas condições da operação (taxa de juros, prazo de duração ou prazo de carência) </t>
  </si>
  <si>
    <t>Nada encontrado</t>
  </si>
  <si>
    <t>Cláusula(s) contratual(s) de cumprimento das regulações socioambientais/dever de informar sobre autuações</t>
  </si>
  <si>
    <t>Cláusula(s) contratual(is) relativa(s) a deveres de transparência socioambiental junto à IF relativos a operações da própria empresa financiada</t>
  </si>
  <si>
    <t>No Relatório, pg. 54-55, consta: "Incorporamos à nossa carteira de monitoramento os projetos que apresentam potenciais impactos relevantes. Para esses casos, solicitamos a elaboração de planos de ação e incluímos cláusulas contratuais socioambientais específicas [...] o caso de descumprimento do plano de ação e/ou das cláusulas contratuais socioambientais, nos é facultado o direito de determinar o bloqueio da liberação do recurso financeiro ou até mesmo a liquidação antecipada do contrato."</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</si>
  <si>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</si>
  <si>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</si>
  <si>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Plano de ação ou compromisso equivalente com  prazos e metas claros para cadeia de produção</t>
  </si>
  <si>
    <t>Garantias adicionais ou seguro</t>
  </si>
  <si>
    <t>Nota de 1 a 100</t>
  </si>
  <si>
    <t>Existência de indicadores específicos para mensuração de impacto (indicando-se quais são) - até 3,5 pontos</t>
  </si>
  <si>
    <t xml:space="preserve"> 
Percentual no portfólio de crédito - até 6,5 pontos </t>
  </si>
  <si>
    <t>Peso por tema</t>
  </si>
  <si>
    <t>Nota ponderada de 0 a 10</t>
  </si>
  <si>
    <t>Total por tema</t>
  </si>
  <si>
    <t>Mitigação ou adaptação a riscos climáticos físicos crônicos</t>
  </si>
  <si>
    <t>Mitigação ou adaptação a riscos climáticos físicos agudos</t>
  </si>
  <si>
    <t xml:space="preserve">No Questionário CDP (questão C4.5a), pg. 78, consta: Produto: Gestão ambiental e energias renováveis APL: Arranjos Produtivos Locais (considera CDC fotovoltaico, CDC Kit gas, Soluções de crédito para micro e pequenas empresas participantes em projetos APL); Porcentagem do valor total do portfólio de Empréstimo bancários/Empréstimos comerciais = 0,0004 %; Metodologia: Low-Carbon Investment (LCI) Registry Taxonomy; </t>
  </si>
  <si>
    <t>Matriz energética de baixo carbono</t>
  </si>
  <si>
    <t>Biodiversidade terrestre (mitigação de riscos)</t>
  </si>
  <si>
    <t>Biodiversidade terrestre (restauração)</t>
  </si>
  <si>
    <t>Mitigação de riscos de poluição água doce</t>
  </si>
  <si>
    <t>Descontaminação de água doce</t>
  </si>
  <si>
    <t>Mitigação de riscos de poluição marítima</t>
  </si>
  <si>
    <t>Restauração de ecossistemas marinhos</t>
  </si>
  <si>
    <t>Mitigação de riscos de poluição do solo</t>
  </si>
  <si>
    <t>Descontaminação do solo</t>
  </si>
  <si>
    <t>Uso eficiente do solo</t>
  </si>
  <si>
    <t>Mitigação de riscos de poluição atmosférica</t>
  </si>
  <si>
    <t>Uso eficiente de matéria-prima</t>
  </si>
  <si>
    <t>Gestão adequada de resíduos sólidos (prevenção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</si>
  <si>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</si>
  <si>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</si>
  <si>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</si>
  <si>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</si>
  <si>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</si>
  <si>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</si>
  <si>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</si>
  <si>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</si>
  <si>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</si>
  <si>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</si>
  <si>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</si>
  <si>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</si>
  <si>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</si>
  <si>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 xml:space="preserve">Total </t>
  </si>
  <si>
    <t>Percentual no portfólio</t>
  </si>
  <si>
    <t xml:space="preserve">Categoria da atividade financiada/segurada </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</si>
  <si>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</si>
  <si>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</si>
  <si>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</si>
  <si>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</si>
  <si>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</si>
  <si>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</si>
  <si>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</si>
  <si>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(Nota de 0 a 100)</t>
  </si>
  <si>
    <t>Dados contidos no Relatório, pg. 194</t>
  </si>
  <si>
    <t>Setor</t>
  </si>
  <si>
    <t xml:space="preserve">Carteira de Crédito (R$ bilhões) </t>
  </si>
  <si>
    <t>Percentual (%)</t>
  </si>
  <si>
    <t>Classificação de risco</t>
  </si>
  <si>
    <t xml:space="preserve">Comércio varejista </t>
  </si>
  <si>
    <t xml:space="preserve">Baixo </t>
  </si>
  <si>
    <t>Comércio por atacado</t>
  </si>
  <si>
    <t>Alimentos</t>
  </si>
  <si>
    <t>Médio</t>
  </si>
  <si>
    <t>Transporte terrestre</t>
  </si>
  <si>
    <t>Alto</t>
  </si>
  <si>
    <t>Energia elétrica</t>
  </si>
  <si>
    <t>Papel e Celulose</t>
  </si>
  <si>
    <t>Veículos e autopeças</t>
  </si>
  <si>
    <t>Agricultura</t>
  </si>
  <si>
    <t>Metalurgia e siderurgia</t>
  </si>
  <si>
    <t>Derivados de petróleo</t>
  </si>
  <si>
    <t>Produtos químicos</t>
  </si>
  <si>
    <t>Petróleo e gás</t>
  </si>
  <si>
    <t>Máquinas e eletrônicos</t>
  </si>
  <si>
    <t>Farmacêuticos e cosméticos</t>
  </si>
  <si>
    <t>Mineração</t>
  </si>
  <si>
    <t>Borracha e plásticos</t>
  </si>
  <si>
    <t xml:space="preserve">Materiais de construção </t>
  </si>
  <si>
    <t>Transporte aéreo</t>
  </si>
  <si>
    <t>Demais setores</t>
  </si>
  <si>
    <t>-</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</si>
  <si>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</si>
  <si>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</si>
  <si>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</si>
  <si>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</si>
  <si>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PESO</t>
  </si>
  <si>
    <t>Alto risco</t>
  </si>
  <si>
    <t>Risco médio</t>
  </si>
  <si>
    <t>Risco baixo ou nenhum risco</t>
  </si>
  <si>
    <t>Não há informação sobre conhecimento (ou não) da localização das atividades financiadas</t>
  </si>
  <si>
    <t>Percentual de empresas no portfólio</t>
  </si>
  <si>
    <t>Percentual baixo (até 20%) no portfólio</t>
  </si>
  <si>
    <t>PESOS</t>
  </si>
  <si>
    <t xml:space="preserve">Alto risco – peso 20% </t>
  </si>
  <si>
    <t xml:space="preserve">Risco médio – peso 10% </t>
  </si>
  <si>
    <t xml:space="preserve">Risco baixo ou nenhum – peso 5% </t>
  </si>
  <si>
    <t>Não avaliadas (dentre os setores sujeitos a licenciamento ambiental) – peso 25%</t>
  </si>
  <si>
    <t xml:space="preserve">Impacto positivo – peso 10% </t>
  </si>
  <si>
    <t xml:space="preserve">Impactos da cadeia de produção irrelevantes – peso 5% </t>
  </si>
  <si>
    <t xml:space="preserve">Impactos da cadeia de produção médios e grau de suficiência do monitoramento – peso 10% </t>
  </si>
  <si>
    <t xml:space="preserve">Impactos da cadeia de produção altos e suficiência do monitoramento – peso 15% </t>
  </si>
  <si>
    <t>(Nota 0 a 100)</t>
  </si>
  <si>
    <t>Não há informação disponível sobre as categorias das empresas financiadas e de suas cadeias de produção</t>
  </si>
  <si>
    <t>NOTAS</t>
  </si>
  <si>
    <t>SITUAÇÃO NA IF</t>
  </si>
  <si>
    <t>Deficiente – 0 ou 1 ponto</t>
  </si>
  <si>
    <t>Médio – 2 a 6 Pontos</t>
  </si>
  <si>
    <t>Bom/ótimo – 7 a 10 pontos</t>
  </si>
  <si>
    <t>Tema tratado em Diretoria de área-fim</t>
  </si>
  <si>
    <t>Participação feminina na Diretoria</t>
  </si>
  <si>
    <t>Participação negra na Diretoria</t>
  </si>
  <si>
    <t>Dimensão da área de Sustentabilidade (proporcionalidade em relação ao quadro de empregados da área de risco)</t>
  </si>
  <si>
    <t>Não há informação sobre dimensão de nenhuma área (apenas por região, cargo e gênero).</t>
  </si>
  <si>
    <t>Dimensão da área de Sustentabilidade (proporcionalidade em relação ao quadro de empregados das áreas de negócios)</t>
  </si>
  <si>
    <t>Treinamentos em sustentabilidade para áreas-fim (média por empregado)</t>
  </si>
  <si>
    <t>No Relatório, pg. 161, consta que houve 95% de participação dos funcionários dos times Comercial, Produtos, Gestão de Ativos e Análise de Investimentos em "capacitação com tema ASG". Não há informação sobre média de horas gastas por funcionário em treinamentos em sustentabilidade para áreas-fim.</t>
  </si>
  <si>
    <t>Integração de fatores de sustentabilidade na remuneração da Diretoria</t>
  </si>
  <si>
    <t>Integração de fatores de sustentabilidade na remuneração de gerentes</t>
  </si>
  <si>
    <t>CDP, pg. 12, consta que não há 'Recompensa não-monetária' para gerentes</t>
  </si>
  <si>
    <r>
      <rPr>
        <sz val="12"/>
        <color rgb="FF000000"/>
        <rFont val="Calibri"/>
      </rPr>
      <t xml:space="preserve">Frequência de atualização de Políticas, Planos e Manuais de Procedimentos e abrangência do diálogo com </t>
    </r>
    <r>
      <rPr>
        <i/>
        <sz val="12"/>
        <color rgb="FF000000"/>
        <rFont val="Calibri"/>
      </rPr>
      <t>stakeholders</t>
    </r>
  </si>
  <si>
    <t>Canal específico para recebimento de reclamações quanto a impactos socioambientais de empreendimentos financiados/segurados</t>
  </si>
  <si>
    <t>Não há informação sobre Canal específico para recebimento de reclamações quanto a impactos socioambientais de empreendimentos financiados/segurados</t>
  </si>
  <si>
    <t>No Relatório integrado, pg. 161, consta: "Além de reforçar as diretrizes estabelecidas na Norma de Investimentos Responsáveis da BRAM, o objetivo desse treinamento foi aprimorar o conhecimento dos participantes na metodologia de análise ASG e informar sobre a evolução do tema ASG no mundo e na BRAM. O treinamento contou com a participação de 119 pessoas. Também foram desenvolvidos, ao longo do ano, treinamentos específicos para áreas de atuação da BRAM, com participação dos funcionários dos times Comercial, Produtos, Gestão de Ativos e Análise de Investimentos, com aderência de 95%. "</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</si>
  <si>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</si>
  <si>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</si>
  <si>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</si>
  <si>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</si>
  <si>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</si>
  <si>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</si>
  <si>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</si>
  <si>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</si>
  <si>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Banco Central do Brasil, CVM, SUSEP e PREVIC</t>
  </si>
  <si>
    <t>Consumidor.gov</t>
  </si>
  <si>
    <t>SINDEC (base de dados dos PROCONs)</t>
  </si>
  <si>
    <t>Imprensa tradicional</t>
  </si>
  <si>
    <t>ONGs socioambientais e canal para recebimento de denúncias da SIS no ue diz respeito ao descumprimento de Políticas e compromissos voluntários</t>
  </si>
  <si>
    <t>(nota de 0 a 100, de modo que a nota é diretamente proporcional ao número de controvérsias)</t>
  </si>
  <si>
    <t>Relatório integrado, pg. 56</t>
  </si>
  <si>
    <t>Informa o monitoramento de apenas 30 projetos, dos quais 17 foram enquadrados nos Princípios do Equador (Relatório integrado, p. 56)</t>
  </si>
  <si>
    <t xml:space="preserve">A partir do doc. Risco Socioambiental CASES, pg. 2, infere-se que Projetos enquadrados na categoria A dos Princípios do Equador são monitorados anualmente por consultoria independente </t>
  </si>
  <si>
    <t>Total de 0 100</t>
  </si>
  <si>
    <t>No doc. Risco Socioambiental Cases, caso 2, consta caso em que foi elaborado Plano de Ação (operação enquadrada nos Princípios do Equador)</t>
  </si>
  <si>
    <t>CDP, pg. 12, consta que todos os diretores recebem incentivo monetário. Não consta o peso.</t>
  </si>
  <si>
    <t>(nota de 0 a 100)</t>
  </si>
  <si>
    <t>No Relatório, pg. 137, cita o Comitê de Sustentabilidade e Diversidade, composto por membros do Conselho de Administração, incluindo o presidente e os vice-presidentes executivos, Diretor de Sustenbilidade, Diretor Financeiro,  Diretor de Riscos; além disso, há a Comissão de Sustentabilidade, composto por Diretores executivos e gestores de diversas áreas.</t>
  </si>
  <si>
    <t>0,008/0,122 (razão raça negra/branca Diretoria + Conselho de Administração)</t>
  </si>
  <si>
    <t>0,02/0,15 (razão mulher/homem Diretoria + Conselho de Administração)</t>
  </si>
  <si>
    <r>
      <t xml:space="preserve">Norma RSAC, pg. 2﻿: "7. Periodicidade de revisão: A revisão se dará no mínimo a cada três anos, ou extraordinariamente a qualquer tempo quando da ocorrência de eventos relevantes". Sólido diálogo com </t>
    </r>
    <r>
      <rPr>
        <i/>
        <sz val="12"/>
        <color rgb="FF000000"/>
        <rFont val="Calibri"/>
      </rPr>
      <t xml:space="preserve">stakeholders, </t>
    </r>
    <r>
      <rPr>
        <sz val="12"/>
        <color rgb="FF000000"/>
        <rFont val="Calibri"/>
        <family val="2"/>
      </rPr>
      <t>segundo</t>
    </r>
    <r>
      <rPr>
        <sz val="12"/>
        <color rgb="FF000000"/>
        <rFont val="Calibri"/>
      </rPr>
      <t xml:space="preserve"> questionários PRB e iniciativas divulgadas no Relatório Integrado.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</si>
</sst>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
  </numFmts>
  <fonts count="31">
    <font>
      <sz val="12"/>
      <color theme="1"/>
      <name val="Calibri"/>
      <family val="2"/>
      <scheme val="minor"/>
    </font>
    <font>
      <b/>
      <sz val="12"/>
      <color theme="0"/>
      <name val="Calibri"/>
      <family val="2"/>
      <scheme val="minor"/>
    </font>
    <font>
      <sz val="16"/>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theme="5" tint="0.7999816888943144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sz val="12"/>
      <color rgb="FFFF0000"/>
      <name val="Calibri"/>
    </font>
    <font>
      <sz val="11"/>
      <color rgb="FF000000"/>
      <name val="Calibri"/>
      <charset val="1"/>
    </font>
    <font>
      <sz val="10"/>
      <color rgb="FF6B6D70"/>
      <name val="BradescoSans"/>
      <charset val="1"/>
    </font>
    <font>
      <sz val="11"/>
      <color rgb="FF000000"/>
      <name val="Calibri"/>
    </font>
    <font>
      <sz val="12"/>
      <color rgb="FF000000"/>
      <name val="Calibri"/>
      <family val="2"/>
    </font>
    <font>
      <sz val="12"/>
      <color rgb="FF000000"/>
      <name val="Calibri"/>
    </font>
    <font>
      <sz val="12"/>
      <color rgb="FF000000"/>
      <name val="Calibri"/>
      <charset val="1"/>
    </font>
    <font>
      <sz val="10"/>
      <color theme="1"/>
      <name val="Calibri"/>
      <family val="2"/>
      <scheme val="minor"/>
    </font>
    <font>
      <sz val="10"/>
      <color rgb="FF000000"/>
      <name val="Calibri"/>
    </font>
    <font>
      <sz val="10"/>
      <color rgb="FFFF0000"/>
      <name val="Calibri"/>
    </font>
    <font>
      <sz val="10"/>
      <color rgb="FF000000"/>
      <name val="Calibri"/>
      <charset val="1"/>
    </font>
    <font>
      <sz val="10"/>
      <color rgb="FF000000"/>
      <name val="Calibri"/>
      <family val="2"/>
    </font>
    <font>
      <sz val="10"/>
      <color rgb="FF000000"/>
      <name val="BradescoSans"/>
      <charset val="1"/>
    </font>
    <font>
      <sz val="11"/>
      <color rgb="FF475163"/>
      <name val="彿"/>
      <charset val="1"/>
    </font>
    <font>
      <sz val="11"/>
      <color rgb="FFFF0000"/>
      <name val="彿"/>
      <charset val="1"/>
    </font>
    <font>
      <sz val="10"/>
      <color theme="1"/>
      <name val="Calibri"/>
    </font>
    <font>
      <sz val="11"/>
      <color rgb="FF475163"/>
      <name val="Calibri"/>
    </font>
    <font>
      <i/>
      <sz val="11"/>
      <color rgb="FF000000"/>
      <name val="Calibri"/>
    </font>
    <font>
      <i/>
      <sz val="12"/>
      <color rgb="FF000000"/>
      <name val="Calibri"/>
    </font>
    <font>
      <sz val="12"/>
      <color theme="1"/>
      <name val="Calibri"/>
    </font>
    <font>
      <sz val="11"/>
      <color rgb="FF000000"/>
      <name val="Calibri"/>
      <family val="2"/>
      <charset val="1"/>
    </font>
  </fonts>
  <fills count="28">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584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59999389629810485"/>
        <bgColor indexed="64"/>
      </patternFill>
    </fill>
    <fill>
      <patternFill patternType="solid">
        <fgColor rgb="FFFFFFFF"/>
        <bgColor indexed="64"/>
      </patternFill>
    </fill>
    <fill>
      <patternFill patternType="solid">
        <fgColor rgb="FFD9D9D9"/>
        <bgColor indexed="64"/>
      </patternFill>
    </fill>
    <fill>
      <patternFill patternType="solid">
        <fgColor rgb="FFF2F2F2"/>
        <bgColor indexed="64"/>
      </patternFill>
    </fill>
    <fill>
      <patternFill patternType="solid">
        <fgColor rgb="FFD9D9D9"/>
        <bgColor rgb="FF000000"/>
      </patternFill>
    </fill>
    <fill>
      <patternFill patternType="solid">
        <fgColor rgb="FFF2F2F2"/>
        <bgColor rgb="FF000000"/>
      </patternFill>
    </fill>
    <fill>
      <patternFill patternType="solid">
        <fgColor rgb="FFFCE4D6"/>
        <bgColor indexed="64"/>
      </patternFill>
    </fill>
    <fill>
      <patternFill patternType="solid">
        <fgColor rgb="FFD9E1F2"/>
        <bgColor indexed="64"/>
      </patternFill>
    </fill>
    <fill>
      <patternFill patternType="solid">
        <fgColor rgb="FFF8CBAD"/>
        <bgColor indexed="64"/>
      </patternFill>
    </fill>
    <fill>
      <patternFill patternType="solid">
        <fgColor rgb="FFE2EFDA"/>
        <bgColor rgb="FF000000"/>
      </patternFill>
    </fill>
  </fills>
  <borders count="36">
    <border>
      <left/>
      <right/>
      <top/>
      <bottom/>
      <diagonal/>
    </border>
    <border>
      <left style="thick">
        <color indexed="64"/>
      </left>
      <right/>
      <top/>
      <bottom/>
      <diagonal/>
    </border>
    <border>
      <left/>
      <right/>
      <top style="thick">
        <color indexed="64"/>
      </top>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thick">
        <color indexed="64"/>
      </right>
      <top/>
      <bottom/>
      <diagonal/>
    </border>
    <border>
      <left style="dotted">
        <color indexed="64"/>
      </left>
      <right style="dotted">
        <color indexed="64"/>
      </right>
      <top style="dotted">
        <color indexed="64"/>
      </top>
      <bottom/>
      <diagonal/>
    </border>
    <border>
      <left style="hair">
        <color indexed="64"/>
      </left>
      <right style="hair">
        <color indexed="64"/>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diagonal/>
    </border>
    <border>
      <left/>
      <right/>
      <top style="dotted">
        <color rgb="FF000000"/>
      </top>
      <bottom/>
      <diagonal/>
    </border>
    <border>
      <left style="dotted">
        <color rgb="FF000000"/>
      </left>
      <right/>
      <top style="dotted">
        <color rgb="FF000000"/>
      </top>
      <bottom/>
      <diagonal/>
    </border>
    <border>
      <left/>
      <right style="dotted">
        <color rgb="FF000000"/>
      </right>
      <top style="dotted">
        <color rgb="FF000000"/>
      </top>
      <bottom style="dotted">
        <color rgb="FF000000"/>
      </bottom>
      <diagonal/>
    </border>
    <border>
      <left style="dotted">
        <color rgb="FF000000"/>
      </left>
      <right/>
      <top/>
      <bottom style="dotted">
        <color rgb="FF000000"/>
      </bottom>
      <diagonal/>
    </border>
    <border>
      <left/>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hair">
        <color indexed="64"/>
      </left>
      <right/>
      <top/>
      <bottom style="hair">
        <color indexed="64"/>
      </bottom>
      <diagonal/>
    </border>
    <border>
      <left style="dotted">
        <color indexed="64"/>
      </left>
      <right style="dotted">
        <color indexed="64"/>
      </right>
      <top/>
      <bottom style="dotted">
        <color indexed="64"/>
      </bottom>
      <diagonal/>
    </border>
    <border>
      <left style="hair">
        <color indexed="64"/>
      </left>
      <right style="hair">
        <color indexed="64"/>
      </right>
      <top style="thin">
        <color rgb="FF000000"/>
      </top>
      <bottom/>
      <diagonal/>
    </border>
    <border>
      <left/>
      <right/>
      <top style="thin">
        <color rgb="FF000000"/>
      </top>
      <bottom/>
      <diagonal/>
    </border>
    <border>
      <left/>
      <right style="thin">
        <color rgb="FF000000"/>
      </right>
      <top/>
      <bottom/>
      <diagonal/>
    </border>
    <border>
      <left style="hair">
        <color indexed="64"/>
      </left>
      <right style="hair">
        <color indexed="64"/>
      </right>
      <top style="hair">
        <color indexed="64"/>
      </top>
      <bottom/>
      <diagonal/>
    </border>
    <border>
      <left/>
      <right/>
      <top/>
      <bottom style="thin">
        <color rgb="FF000000"/>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250">
    <xf numFmtId="0" fontId="0" fillId="0" borderId="0" xfId="0"/>
    <xf numFmtId="0" fontId="0" fillId="0" borderId="0" xfId="0" applyAlignment="1">
      <alignment horizontal="center"/>
    </xf>
    <xf numFmtId="0" fontId="0" fillId="6" borderId="0" xfId="0" applyFill="1" applyAlignment="1">
      <alignment horizontal="center"/>
    </xf>
    <xf numFmtId="0" fontId="0" fillId="2" borderId="0" xfId="0" applyFill="1" applyAlignment="1">
      <alignment horizontal="center"/>
    </xf>
    <xf numFmtId="0" fontId="0" fillId="4" borderId="2" xfId="0" applyFill="1" applyBorder="1" applyAlignment="1">
      <alignment horizontal="center" vertical="center" wrapText="1"/>
    </xf>
    <xf numFmtId="0" fontId="0" fillId="2" borderId="2" xfId="0" applyFill="1" applyBorder="1" applyAlignment="1">
      <alignment horizontal="center" vertical="center"/>
    </xf>
    <xf numFmtId="9" fontId="0" fillId="5" borderId="1" xfId="0" applyNumberFormat="1" applyFill="1" applyBorder="1" applyAlignment="1">
      <alignment horizontal="center" vertical="center" wrapText="1"/>
    </xf>
    <xf numFmtId="9" fontId="0" fillId="5" borderId="0" xfId="0" applyNumberFormat="1" applyFill="1" applyAlignment="1">
      <alignment horizontal="center" vertical="center"/>
    </xf>
    <xf numFmtId="9" fontId="0" fillId="5" borderId="0" xfId="0" applyNumberFormat="1" applyFill="1" applyAlignment="1">
      <alignment horizontal="center" vertical="center" wrapText="1"/>
    </xf>
    <xf numFmtId="0" fontId="0" fillId="4" borderId="4" xfId="0" applyFill="1" applyBorder="1" applyAlignment="1">
      <alignment horizontal="center"/>
    </xf>
    <xf numFmtId="0" fontId="3" fillId="0" borderId="0" xfId="0" applyFont="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xf>
    <xf numFmtId="0" fontId="0" fillId="7" borderId="0" xfId="0" applyFill="1" applyAlignment="1">
      <alignment horizontal="center"/>
    </xf>
    <xf numFmtId="9" fontId="5" fillId="5" borderId="0" xfId="0" applyNumberFormat="1" applyFont="1" applyFill="1" applyAlignment="1">
      <alignment horizontal="center" vertical="center"/>
    </xf>
    <xf numFmtId="0" fontId="0" fillId="9" borderId="4" xfId="0" applyFill="1" applyBorder="1" applyAlignment="1">
      <alignment horizontal="center" wrapText="1"/>
    </xf>
    <xf numFmtId="9" fontId="0" fillId="5" borderId="0" xfId="0" applyNumberFormat="1" applyFill="1" applyAlignment="1">
      <alignment horizontal="center"/>
    </xf>
    <xf numFmtId="9" fontId="0" fillId="0" borderId="0" xfId="0" applyNumberFormat="1" applyAlignment="1">
      <alignment horizontal="center"/>
    </xf>
    <xf numFmtId="0" fontId="3" fillId="0" borderId="1" xfId="0" applyFont="1" applyBorder="1" applyAlignment="1">
      <alignment horizontal="center" vertical="center"/>
    </xf>
    <xf numFmtId="0" fontId="4" fillId="0" borderId="0" xfId="0" applyFont="1" applyAlignment="1">
      <alignment horizontal="center"/>
    </xf>
    <xf numFmtId="0" fontId="0" fillId="8" borderId="4" xfId="0" applyFill="1" applyBorder="1" applyAlignment="1">
      <alignment horizontal="center" wrapText="1"/>
    </xf>
    <xf numFmtId="9" fontId="5" fillId="5" borderId="0" xfId="0" applyNumberFormat="1" applyFont="1" applyFill="1" applyAlignment="1">
      <alignment horizontal="center"/>
    </xf>
    <xf numFmtId="0" fontId="0" fillId="9" borderId="5" xfId="0" applyFill="1" applyBorder="1" applyAlignment="1">
      <alignment horizontal="center" wrapText="1"/>
    </xf>
    <xf numFmtId="9" fontId="0" fillId="2" borderId="0" xfId="0" applyNumberFormat="1" applyFill="1" applyAlignment="1">
      <alignment horizontal="center" vertical="center"/>
    </xf>
    <xf numFmtId="9" fontId="0" fillId="10" borderId="0" xfId="0" applyNumberFormat="1" applyFill="1" applyAlignment="1">
      <alignment horizontal="center" vertical="center"/>
    </xf>
    <xf numFmtId="0" fontId="0" fillId="2" borderId="0" xfId="0" applyFill="1" applyAlignment="1">
      <alignment horizontal="center" vertical="center"/>
    </xf>
    <xf numFmtId="0" fontId="0" fillId="11"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9" fontId="0" fillId="11" borderId="0" xfId="0" applyNumberFormat="1" applyFill="1" applyAlignment="1">
      <alignment horizontal="center" vertical="center"/>
    </xf>
    <xf numFmtId="10" fontId="0" fillId="11" borderId="0" xfId="0" applyNumberFormat="1" applyFill="1" applyAlignment="1">
      <alignment horizontal="center" vertical="center"/>
    </xf>
    <xf numFmtId="9" fontId="0" fillId="11" borderId="0" xfId="0" applyNumberFormat="1" applyFill="1" applyAlignment="1">
      <alignment horizontal="center" vertical="center" wrapText="1"/>
    </xf>
    <xf numFmtId="0" fontId="0" fillId="11" borderId="0" xfId="0" applyFill="1" applyAlignment="1">
      <alignment horizontal="center" vertical="center" wrapText="1"/>
    </xf>
    <xf numFmtId="9" fontId="0" fillId="0" borderId="0" xfId="0" applyNumberFormat="1" applyAlignment="1">
      <alignment horizontal="center" vertical="center"/>
    </xf>
    <xf numFmtId="0" fontId="0" fillId="4" borderId="0" xfId="0" applyFill="1" applyAlignment="1">
      <alignment horizontal="center" vertical="center" wrapText="1"/>
    </xf>
    <xf numFmtId="0" fontId="0" fillId="6" borderId="0" xfId="0" applyFill="1" applyAlignment="1">
      <alignment horizontal="center" vertical="center"/>
    </xf>
    <xf numFmtId="0" fontId="0" fillId="4" borderId="4" xfId="0" applyFill="1" applyBorder="1" applyAlignment="1">
      <alignment horizontal="center" vertical="center"/>
    </xf>
    <xf numFmtId="0" fontId="0" fillId="9"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center" vertical="center" wrapText="1"/>
    </xf>
    <xf numFmtId="0" fontId="0" fillId="3" borderId="0" xfId="0" applyFill="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9" fontId="0" fillId="0" borderId="0" xfId="0" applyNumberFormat="1" applyAlignment="1">
      <alignment horizontal="center" vertical="center" wrapText="1"/>
    </xf>
    <xf numFmtId="0" fontId="0" fillId="6" borderId="4" xfId="0" applyFill="1" applyBorder="1" applyAlignment="1">
      <alignment horizontal="center" vertical="center"/>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9" fontId="0" fillId="9" borderId="4" xfId="0" applyNumberFormat="1" applyFill="1" applyBorder="1" applyAlignment="1">
      <alignment horizontal="center" vertical="center"/>
    </xf>
    <xf numFmtId="10" fontId="0" fillId="9" borderId="4" xfId="0" applyNumberFormat="1" applyFill="1" applyBorder="1" applyAlignment="1">
      <alignment horizontal="center" vertical="center"/>
    </xf>
    <xf numFmtId="9" fontId="0" fillId="8" borderId="4" xfId="0" applyNumberFormat="1" applyFill="1" applyBorder="1" applyAlignment="1">
      <alignment horizontal="center" vertical="center"/>
    </xf>
    <xf numFmtId="10" fontId="0" fillId="8" borderId="4" xfId="0" applyNumberFormat="1" applyFill="1" applyBorder="1" applyAlignment="1">
      <alignment horizontal="center" vertical="center"/>
    </xf>
    <xf numFmtId="10"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6" fillId="4" borderId="0" xfId="0" applyFont="1" applyFill="1" applyAlignment="1">
      <alignment horizontal="center" vertical="center"/>
    </xf>
    <xf numFmtId="9" fontId="0" fillId="15" borderId="4" xfId="0" applyNumberFormat="1" applyFill="1" applyBorder="1" applyAlignment="1">
      <alignment horizontal="center" vertical="center"/>
    </xf>
    <xf numFmtId="0" fontId="0" fillId="15" borderId="4" xfId="0" applyFill="1" applyBorder="1" applyAlignment="1">
      <alignment horizontal="center" vertical="center"/>
    </xf>
    <xf numFmtId="0" fontId="0" fillId="3" borderId="0" xfId="0" applyFill="1" applyAlignment="1">
      <alignment horizontal="center" vertical="center" wrapText="1"/>
    </xf>
    <xf numFmtId="165" fontId="0" fillId="8" borderId="4" xfId="0" applyNumberFormat="1" applyFill="1" applyBorder="1" applyAlignment="1">
      <alignment horizontal="center" vertical="center"/>
    </xf>
    <xf numFmtId="165" fontId="0" fillId="9" borderId="4" xfId="0" applyNumberFormat="1" applyFill="1" applyBorder="1" applyAlignment="1">
      <alignment horizontal="center" vertical="center"/>
    </xf>
    <xf numFmtId="9" fontId="0" fillId="0" borderId="4" xfId="0" applyNumberFormat="1" applyBorder="1" applyAlignment="1">
      <alignment horizontal="center" vertical="center"/>
    </xf>
    <xf numFmtId="0" fontId="7" fillId="16" borderId="2" xfId="0" applyFont="1" applyFill="1" applyBorder="1" applyAlignment="1">
      <alignment horizontal="center" vertical="center"/>
    </xf>
    <xf numFmtId="0" fontId="7" fillId="16" borderId="0" xfId="0" applyFont="1" applyFill="1" applyAlignment="1">
      <alignment horizontal="center"/>
    </xf>
    <xf numFmtId="0" fontId="7" fillId="17" borderId="4" xfId="0" applyFont="1" applyFill="1" applyBorder="1" applyAlignment="1">
      <alignment horizontal="center"/>
    </xf>
    <xf numFmtId="0" fontId="7" fillId="17" borderId="7" xfId="0" applyFont="1" applyFill="1" applyBorder="1" applyAlignment="1">
      <alignment horizontal="center"/>
    </xf>
    <xf numFmtId="0" fontId="7" fillId="0" borderId="0" xfId="0" applyFont="1" applyAlignment="1">
      <alignment horizontal="center"/>
    </xf>
    <xf numFmtId="0" fontId="0" fillId="12" borderId="0" xfId="0" applyFill="1"/>
    <xf numFmtId="0" fontId="9" fillId="0" borderId="0" xfId="0" applyFont="1" applyAlignment="1">
      <alignment horizontal="center" vertical="center"/>
    </xf>
    <xf numFmtId="0" fontId="0" fillId="4" borderId="0" xfId="0" applyFill="1" applyAlignment="1">
      <alignment horizontal="center"/>
    </xf>
    <xf numFmtId="0" fontId="9" fillId="0" borderId="0" xfId="0" applyFont="1" applyAlignment="1">
      <alignment horizontal="left"/>
    </xf>
    <xf numFmtId="0" fontId="9" fillId="0" borderId="0" xfId="0" applyFont="1" applyAlignment="1">
      <alignment horizontal="center"/>
    </xf>
    <xf numFmtId="0" fontId="0" fillId="4" borderId="8" xfId="0" applyFill="1" applyBorder="1" applyAlignment="1">
      <alignment horizontal="center"/>
    </xf>
    <xf numFmtId="0" fontId="0" fillId="0" borderId="8" xfId="0" applyBorder="1" applyAlignment="1">
      <alignment horizontal="center"/>
    </xf>
    <xf numFmtId="0" fontId="0" fillId="4" borderId="8" xfId="0" applyFill="1" applyBorder="1" applyAlignment="1">
      <alignment horizontal="center" wrapText="1"/>
    </xf>
    <xf numFmtId="0" fontId="0" fillId="3" borderId="0" xfId="0" applyFill="1" applyAlignment="1">
      <alignment horizontal="center"/>
    </xf>
    <xf numFmtId="0" fontId="0" fillId="2" borderId="0" xfId="0" applyFill="1"/>
    <xf numFmtId="0" fontId="0" fillId="0" borderId="7" xfId="0" applyBorder="1" applyAlignment="1">
      <alignment horizontal="center" vertical="center"/>
    </xf>
    <xf numFmtId="0" fontId="0" fillId="9" borderId="8" xfId="0" applyFill="1" applyBorder="1" applyAlignment="1">
      <alignment horizontal="center" vertical="center"/>
    </xf>
    <xf numFmtId="0" fontId="0" fillId="8" borderId="8" xfId="0" applyFill="1" applyBorder="1" applyAlignment="1">
      <alignment horizontal="center" vertical="center"/>
    </xf>
    <xf numFmtId="2" fontId="0" fillId="11" borderId="0" xfId="1" applyNumberFormat="1" applyFont="1" applyFill="1" applyAlignment="1">
      <alignment horizontal="center" vertical="center"/>
    </xf>
    <xf numFmtId="2" fontId="0" fillId="8" borderId="4" xfId="0" applyNumberFormat="1" applyFill="1" applyBorder="1" applyAlignment="1">
      <alignment horizontal="center" wrapText="1"/>
    </xf>
    <xf numFmtId="2" fontId="0" fillId="9" borderId="4" xfId="0" applyNumberFormat="1" applyFill="1" applyBorder="1" applyAlignment="1">
      <alignment horizontal="center" wrapText="1"/>
    </xf>
    <xf numFmtId="9" fontId="0" fillId="11" borderId="0" xfId="0" applyNumberFormat="1" applyFill="1" applyAlignment="1">
      <alignment horizontal="center"/>
    </xf>
    <xf numFmtId="0" fontId="0" fillId="11" borderId="0" xfId="0" applyFill="1" applyAlignment="1">
      <alignment horizontal="center"/>
    </xf>
    <xf numFmtId="9" fontId="0" fillId="14" borderId="0" xfId="0" applyNumberFormat="1" applyFill="1" applyAlignment="1">
      <alignment horizontal="center"/>
    </xf>
    <xf numFmtId="0" fontId="0" fillId="14" borderId="0" xfId="0" applyFill="1" applyAlignment="1">
      <alignment horizontal="center"/>
    </xf>
    <xf numFmtId="0" fontId="0" fillId="8" borderId="4" xfId="0" applyFill="1" applyBorder="1" applyAlignment="1">
      <alignment horizontal="center" vertical="center" wrapText="1"/>
    </xf>
    <xf numFmtId="0" fontId="0" fillId="9" borderId="4" xfId="0" applyFill="1" applyBorder="1" applyAlignment="1">
      <alignment horizontal="center" vertical="center" wrapText="1"/>
    </xf>
    <xf numFmtId="0" fontId="0" fillId="7" borderId="0" xfId="0" applyFill="1" applyAlignment="1">
      <alignment horizontal="center" vertical="center"/>
    </xf>
    <xf numFmtId="1" fontId="0" fillId="4" borderId="3" xfId="0" applyNumberFormat="1" applyFill="1" applyBorder="1" applyAlignment="1">
      <alignment horizontal="center" vertical="center" wrapText="1"/>
    </xf>
    <xf numFmtId="1" fontId="0" fillId="8" borderId="4" xfId="0" applyNumberFormat="1" applyFill="1" applyBorder="1" applyAlignment="1">
      <alignment horizontal="center" wrapText="1"/>
    </xf>
    <xf numFmtId="1" fontId="0" fillId="7" borderId="0" xfId="0" applyNumberFormat="1" applyFill="1" applyAlignment="1">
      <alignment horizontal="center"/>
    </xf>
    <xf numFmtId="1" fontId="0" fillId="0" borderId="0" xfId="0" applyNumberFormat="1" applyAlignment="1">
      <alignment horizontal="center"/>
    </xf>
    <xf numFmtId="0" fontId="0" fillId="12" borderId="0" xfId="0" applyFill="1" applyAlignment="1">
      <alignment horizontal="center"/>
    </xf>
    <xf numFmtId="1" fontId="0" fillId="9" borderId="4" xfId="0" applyNumberFormat="1" applyFill="1" applyBorder="1" applyAlignment="1">
      <alignment horizontal="center" wrapText="1"/>
    </xf>
    <xf numFmtId="9" fontId="0" fillId="5" borderId="1" xfId="2" applyFont="1" applyFill="1" applyBorder="1" applyAlignment="1">
      <alignment horizontal="center" vertical="center" wrapText="1"/>
    </xf>
    <xf numFmtId="0" fontId="0" fillId="9" borderId="0" xfId="0" applyFill="1" applyAlignment="1">
      <alignment horizontal="center" vertical="center"/>
    </xf>
    <xf numFmtId="0" fontId="0" fillId="8" borderId="0" xfId="0" applyFill="1" applyAlignment="1">
      <alignment horizontal="center" vertical="center"/>
    </xf>
    <xf numFmtId="0" fontId="0" fillId="12" borderId="0" xfId="0" applyFill="1" applyAlignment="1">
      <alignment horizontal="center" vertical="center" wrapText="1"/>
    </xf>
    <xf numFmtId="9" fontId="0" fillId="0" borderId="0" xfId="2" applyFont="1" applyAlignment="1">
      <alignment horizontal="center" vertical="center"/>
    </xf>
    <xf numFmtId="0" fontId="0" fillId="12" borderId="0" xfId="0" applyFill="1" applyAlignment="1">
      <alignment horizontal="center" vertical="center"/>
    </xf>
    <xf numFmtId="9" fontId="0" fillId="12" borderId="0" xfId="0" applyNumberFormat="1" applyFill="1" applyAlignment="1">
      <alignment horizontal="center" vertical="center"/>
    </xf>
    <xf numFmtId="0" fontId="0" fillId="0" borderId="10" xfId="0" applyBorder="1" applyAlignment="1">
      <alignment horizontal="center" vertical="center"/>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xf>
    <xf numFmtId="0" fontId="11" fillId="20" borderId="0" xfId="0" applyFont="1" applyFill="1" applyAlignment="1">
      <alignment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0" fontId="0" fillId="18" borderId="11" xfId="0" applyFill="1" applyBorder="1" applyAlignment="1">
      <alignment horizontal="center" wrapText="1"/>
    </xf>
    <xf numFmtId="0" fontId="0" fillId="18" borderId="11" xfId="0" applyFill="1" applyBorder="1" applyAlignment="1">
      <alignment horizontal="center"/>
    </xf>
    <xf numFmtId="0" fontId="11" fillId="21" borderId="0" xfId="0" applyFont="1" applyFill="1" applyAlignment="1">
      <alignment wrapText="1"/>
    </xf>
    <xf numFmtId="0" fontId="0" fillId="4" borderId="3" xfId="0" applyFill="1" applyBorder="1" applyAlignment="1">
      <alignment horizontal="center" vertical="center" wrapText="1"/>
    </xf>
    <xf numFmtId="0" fontId="14" fillId="22" borderId="4" xfId="0" applyFont="1" applyFill="1" applyBorder="1" applyAlignment="1">
      <alignment wrapText="1"/>
    </xf>
    <xf numFmtId="0" fontId="14" fillId="21" borderId="4" xfId="0" applyFont="1" applyFill="1" applyBorder="1" applyAlignment="1">
      <alignment wrapText="1"/>
    </xf>
    <xf numFmtId="0" fontId="15" fillId="20" borderId="4" xfId="0" applyFont="1" applyFill="1" applyBorder="1" applyAlignment="1">
      <alignment wrapText="1"/>
    </xf>
    <xf numFmtId="0" fontId="14" fillId="23" borderId="7" xfId="0" applyFont="1" applyFill="1" applyBorder="1" applyAlignment="1">
      <alignment horizontal="center" wrapText="1"/>
    </xf>
    <xf numFmtId="0" fontId="14" fillId="22" borderId="7" xfId="0" applyFont="1" applyFill="1" applyBorder="1" applyAlignment="1">
      <alignment horizontal="center" wrapText="1"/>
    </xf>
    <xf numFmtId="0" fontId="14" fillId="23" borderId="7" xfId="0" applyFont="1" applyFill="1" applyBorder="1" applyAlignment="1">
      <alignment horizontal="left" wrapText="1"/>
    </xf>
    <xf numFmtId="0" fontId="14" fillId="23" borderId="12" xfId="0" applyFont="1" applyFill="1" applyBorder="1" applyAlignment="1">
      <alignment horizontal="center" wrapText="1"/>
    </xf>
    <xf numFmtId="0" fontId="14" fillId="22" borderId="7" xfId="0" applyFont="1" applyFill="1" applyBorder="1" applyAlignment="1">
      <alignment horizontal="left" wrapText="1"/>
    </xf>
    <xf numFmtId="0" fontId="0" fillId="12" borderId="0" xfId="0" quotePrefix="1" applyFill="1"/>
    <xf numFmtId="0" fontId="16" fillId="20" borderId="0" xfId="0" applyFont="1" applyFill="1" applyAlignment="1">
      <alignment vertical="center" wrapText="1"/>
    </xf>
    <xf numFmtId="0" fontId="17" fillId="0" borderId="8" xfId="0" applyFont="1" applyBorder="1" applyAlignment="1">
      <alignment horizontal="left" wrapText="1"/>
    </xf>
    <xf numFmtId="0" fontId="18" fillId="20" borderId="0" xfId="0" applyFont="1" applyFill="1" applyAlignment="1">
      <alignment wrapText="1"/>
    </xf>
    <xf numFmtId="0" fontId="20" fillId="20" borderId="0" xfId="0" applyFont="1" applyFill="1" applyAlignment="1">
      <alignment wrapText="1"/>
    </xf>
    <xf numFmtId="0" fontId="19" fillId="21" borderId="0" xfId="0" applyFont="1" applyFill="1" applyAlignment="1">
      <alignment horizontal="left" wrapText="1"/>
    </xf>
    <xf numFmtId="0" fontId="18" fillId="0" borderId="0" xfId="0" applyFont="1" applyAlignment="1">
      <alignment wrapText="1"/>
    </xf>
    <xf numFmtId="0" fontId="0" fillId="0" borderId="8" xfId="0" applyBorder="1" applyAlignment="1">
      <alignment horizontal="center" wrapText="1"/>
    </xf>
    <xf numFmtId="0" fontId="9" fillId="0" borderId="8" xfId="0" applyFont="1" applyBorder="1" applyAlignment="1">
      <alignment horizontal="center"/>
    </xf>
    <xf numFmtId="0" fontId="0" fillId="24" borderId="13" xfId="0" applyFill="1" applyBorder="1" applyAlignment="1">
      <alignment horizontal="center" vertical="center" wrapText="1"/>
    </xf>
    <xf numFmtId="0" fontId="7" fillId="20" borderId="14" xfId="0" applyFont="1" applyFill="1" applyBorder="1" applyAlignment="1">
      <alignment horizontal="center" vertical="center"/>
    </xf>
    <xf numFmtId="0" fontId="0" fillId="20" borderId="15" xfId="0" applyFill="1" applyBorder="1" applyAlignment="1">
      <alignment horizontal="center" vertical="center"/>
    </xf>
    <xf numFmtId="0" fontId="0" fillId="20" borderId="16" xfId="0" applyFill="1" applyBorder="1" applyAlignment="1">
      <alignment horizontal="center" vertical="center"/>
    </xf>
    <xf numFmtId="0" fontId="0" fillId="20" borderId="13" xfId="0" applyFill="1" applyBorder="1" applyAlignment="1">
      <alignment horizontal="center" vertical="center" wrapText="1"/>
    </xf>
    <xf numFmtId="0" fontId="0" fillId="20" borderId="17" xfId="0" applyFill="1" applyBorder="1" applyAlignment="1">
      <alignment horizontal="center" vertical="center"/>
    </xf>
    <xf numFmtId="9" fontId="0" fillId="25" borderId="0" xfId="0" applyNumberFormat="1" applyFill="1" applyAlignment="1">
      <alignment horizontal="center" vertical="center" wrapText="1"/>
    </xf>
    <xf numFmtId="0" fontId="0" fillId="20" borderId="13" xfId="0" applyFill="1" applyBorder="1" applyAlignment="1">
      <alignment horizontal="center" vertical="center"/>
    </xf>
    <xf numFmtId="0" fontId="0" fillId="20" borderId="19" xfId="0" applyFill="1" applyBorder="1" applyAlignment="1">
      <alignment horizontal="center" vertical="center"/>
    </xf>
    <xf numFmtId="0" fontId="0" fillId="20" borderId="20" xfId="0" applyFill="1" applyBorder="1" applyAlignment="1">
      <alignment horizontal="center" vertical="center"/>
    </xf>
    <xf numFmtId="0" fontId="0" fillId="20" borderId="21" xfId="0" applyFill="1" applyBorder="1" applyAlignment="1">
      <alignment horizontal="center" vertical="center" wrapText="1"/>
    </xf>
    <xf numFmtId="0" fontId="0" fillId="20" borderId="22" xfId="0" applyFill="1" applyBorder="1" applyAlignment="1">
      <alignment horizontal="center" vertical="center"/>
    </xf>
    <xf numFmtId="0" fontId="0" fillId="4" borderId="23" xfId="0" applyFill="1" applyBorder="1" applyAlignment="1">
      <alignment horizontal="center" vertical="center" wrapText="1"/>
    </xf>
    <xf numFmtId="0" fontId="0" fillId="9" borderId="24" xfId="0" applyFill="1" applyBorder="1" applyAlignment="1">
      <alignment horizontal="center" vertical="center"/>
    </xf>
    <xf numFmtId="2" fontId="0" fillId="11" borderId="0" xfId="1" applyNumberFormat="1" applyFont="1" applyFill="1" applyBorder="1" applyAlignment="1">
      <alignment horizontal="center" vertical="center"/>
    </xf>
    <xf numFmtId="0" fontId="0" fillId="8" borderId="11" xfId="0" applyFill="1" applyBorder="1" applyAlignment="1">
      <alignment horizontal="center" vertical="center"/>
    </xf>
    <xf numFmtId="0" fontId="9" fillId="24" borderId="18" xfId="0" applyFont="1" applyFill="1" applyBorder="1" applyAlignment="1">
      <alignment horizontal="center" vertical="center"/>
    </xf>
    <xf numFmtId="0" fontId="23" fillId="0" borderId="0" xfId="0" applyFont="1" applyAlignment="1">
      <alignment wrapText="1"/>
    </xf>
    <xf numFmtId="0" fontId="0" fillId="20" borderId="0" xfId="0" applyFill="1" applyAlignment="1">
      <alignment horizontal="center"/>
    </xf>
    <xf numFmtId="0" fontId="0" fillId="26" borderId="0" xfId="0" applyFill="1" applyAlignment="1">
      <alignment horizontal="center"/>
    </xf>
    <xf numFmtId="0" fontId="0" fillId="24" borderId="0" xfId="0" applyFill="1" applyAlignment="1">
      <alignment horizontal="center"/>
    </xf>
    <xf numFmtId="10" fontId="0" fillId="20" borderId="0" xfId="0" applyNumberFormat="1" applyFill="1" applyAlignment="1">
      <alignment horizontal="center"/>
    </xf>
    <xf numFmtId="0" fontId="0" fillId="0" borderId="27" xfId="0" applyBorder="1" applyAlignment="1">
      <alignment horizontal="center"/>
    </xf>
    <xf numFmtId="10" fontId="0" fillId="0" borderId="0" xfId="0" applyNumberFormat="1" applyAlignment="1">
      <alignment horizontal="center"/>
    </xf>
    <xf numFmtId="0" fontId="0" fillId="0" borderId="0" xfId="0" applyAlignment="1">
      <alignment horizontal="center" wrapText="1"/>
    </xf>
    <xf numFmtId="9" fontId="9" fillId="11" borderId="0" xfId="0" applyNumberFormat="1" applyFont="1" applyFill="1" applyAlignment="1">
      <alignment horizontal="center" vertical="center" wrapText="1"/>
    </xf>
    <xf numFmtId="10" fontId="7" fillId="20" borderId="0" xfId="0" applyNumberFormat="1" applyFont="1" applyFill="1" applyAlignment="1">
      <alignment horizontal="center"/>
    </xf>
    <xf numFmtId="0" fontId="24" fillId="0" borderId="0" xfId="0" applyFont="1" applyAlignment="1">
      <alignment wrapText="1"/>
    </xf>
    <xf numFmtId="0" fontId="0" fillId="0" borderId="25" xfId="0" applyBorder="1" applyAlignment="1">
      <alignment horizontal="center" vertical="center"/>
    </xf>
    <xf numFmtId="0" fontId="0" fillId="0" borderId="26" xfId="0" applyBorder="1" applyAlignment="1">
      <alignment horizontal="center" vertical="center"/>
    </xf>
    <xf numFmtId="2" fontId="0" fillId="0" borderId="0" xfId="0" applyNumberFormat="1" applyAlignment="1">
      <alignment horizontal="center" vertical="center" wrapText="1"/>
    </xf>
    <xf numFmtId="2" fontId="0" fillId="0" borderId="0" xfId="1" applyNumberFormat="1" applyFont="1" applyFill="1" applyBorder="1" applyAlignment="1">
      <alignment horizontal="center" vertical="center"/>
    </xf>
    <xf numFmtId="0" fontId="21" fillId="0" borderId="0" xfId="0" applyFont="1" applyAlignment="1">
      <alignment wrapText="1"/>
    </xf>
    <xf numFmtId="0" fontId="0" fillId="0" borderId="25" xfId="0" applyBorder="1" applyAlignment="1">
      <alignment horizontal="center" vertical="center" wrapText="1"/>
    </xf>
    <xf numFmtId="0" fontId="9" fillId="0" borderId="0" xfId="0" applyFont="1" applyAlignment="1">
      <alignment horizontal="center" vertical="center" wrapText="1"/>
    </xf>
    <xf numFmtId="0" fontId="22" fillId="0" borderId="0" xfId="0" applyFont="1" applyAlignment="1">
      <alignment wrapText="1"/>
    </xf>
    <xf numFmtId="0" fontId="15" fillId="0" borderId="0" xfId="0" applyFont="1" applyAlignment="1">
      <alignment vertical="center" wrapText="1"/>
    </xf>
    <xf numFmtId="0" fontId="23" fillId="24" borderId="0" xfId="0" applyFont="1" applyFill="1"/>
    <xf numFmtId="10" fontId="9" fillId="0" borderId="0" xfId="0" applyNumberFormat="1" applyFont="1" applyAlignment="1">
      <alignment horizontal="center"/>
    </xf>
    <xf numFmtId="10" fontId="7" fillId="0" borderId="0" xfId="0" applyNumberFormat="1" applyFont="1" applyAlignment="1">
      <alignment horizontal="center"/>
    </xf>
    <xf numFmtId="0" fontId="18" fillId="24" borderId="0" xfId="0" applyFont="1" applyFill="1" applyAlignment="1">
      <alignment wrapText="1"/>
    </xf>
    <xf numFmtId="0" fontId="18" fillId="19" borderId="0" xfId="0" applyFont="1" applyFill="1" applyAlignment="1">
      <alignment wrapText="1"/>
    </xf>
    <xf numFmtId="0" fontId="0" fillId="4" borderId="28" xfId="0" applyFill="1" applyBorder="1" applyAlignment="1">
      <alignment horizontal="center"/>
    </xf>
    <xf numFmtId="0" fontId="0" fillId="4" borderId="7" xfId="0" applyFill="1" applyBorder="1" applyAlignment="1">
      <alignment horizontal="center"/>
    </xf>
    <xf numFmtId="0" fontId="26" fillId="0" borderId="0" xfId="0" applyFont="1" applyAlignment="1">
      <alignment wrapText="1"/>
    </xf>
    <xf numFmtId="0" fontId="13" fillId="21" borderId="0" xfId="0" applyFont="1" applyFill="1" applyAlignment="1">
      <alignment horizontal="left" wrapText="1"/>
    </xf>
    <xf numFmtId="0" fontId="15" fillId="4" borderId="4" xfId="0" applyFont="1" applyFill="1" applyBorder="1" applyAlignment="1">
      <alignment horizontal="center" vertical="center" wrapText="1"/>
    </xf>
    <xf numFmtId="0" fontId="10" fillId="24" borderId="0" xfId="0" applyFont="1" applyFill="1" applyAlignment="1">
      <alignment wrapText="1"/>
    </xf>
    <xf numFmtId="0" fontId="0" fillId="20" borderId="4" xfId="0" applyFill="1" applyBorder="1" applyAlignment="1">
      <alignment horizontal="center" vertical="center" wrapText="1"/>
    </xf>
    <xf numFmtId="0" fontId="0" fillId="20" borderId="4" xfId="0" applyFill="1" applyBorder="1" applyAlignment="1">
      <alignment horizontal="left" vertical="center" wrapText="1"/>
    </xf>
    <xf numFmtId="0" fontId="0" fillId="21" borderId="4" xfId="0" applyFill="1" applyBorder="1" applyAlignment="1">
      <alignment horizontal="center" vertical="center" wrapText="1"/>
    </xf>
    <xf numFmtId="0" fontId="7" fillId="8" borderId="4" xfId="0" applyFont="1" applyFill="1" applyBorder="1" applyAlignment="1">
      <alignment horizontal="center" vertical="center" wrapText="1"/>
    </xf>
    <xf numFmtId="0" fontId="7" fillId="9" borderId="4" xfId="0" applyFont="1" applyFill="1" applyBorder="1" applyAlignment="1">
      <alignment horizontal="center" vertical="center"/>
    </xf>
    <xf numFmtId="0" fontId="7" fillId="9" borderId="4" xfId="0" applyFont="1" applyFill="1" applyBorder="1" applyAlignment="1">
      <alignment horizontal="center" vertical="center" wrapText="1"/>
    </xf>
    <xf numFmtId="0" fontId="0" fillId="8" borderId="5" xfId="0" applyFill="1" applyBorder="1" applyAlignment="1">
      <alignment vertical="center" wrapText="1"/>
    </xf>
    <xf numFmtId="0" fontId="0" fillId="8" borderId="30" xfId="0" applyFill="1" applyBorder="1" applyAlignment="1">
      <alignment vertical="center" wrapText="1"/>
    </xf>
    <xf numFmtId="0" fontId="0" fillId="8" borderId="31" xfId="0" applyFill="1" applyBorder="1" applyAlignment="1">
      <alignment vertical="center" wrapText="1"/>
    </xf>
    <xf numFmtId="0" fontId="16" fillId="21" borderId="0" xfId="0" applyFont="1" applyFill="1" applyAlignment="1">
      <alignment wrapText="1"/>
    </xf>
    <xf numFmtId="9" fontId="29" fillId="5" borderId="0" xfId="0" applyNumberFormat="1" applyFont="1" applyFill="1" applyAlignment="1">
      <alignment horizontal="center" vertical="center" wrapText="1"/>
    </xf>
    <xf numFmtId="0" fontId="15" fillId="20" borderId="0" xfId="0" applyFont="1" applyFill="1" applyAlignment="1">
      <alignment wrapText="1"/>
    </xf>
    <xf numFmtId="0" fontId="15" fillId="21" borderId="0" xfId="0" applyFont="1" applyFill="1" applyAlignment="1">
      <alignment wrapText="1"/>
    </xf>
    <xf numFmtId="0" fontId="15" fillId="20" borderId="0" xfId="0" applyFont="1" applyFill="1" applyAlignment="1">
      <alignment horizontal="left" wrapText="1"/>
    </xf>
    <xf numFmtId="0" fontId="0" fillId="9" borderId="4" xfId="0" applyFill="1" applyBorder="1" applyAlignment="1">
      <alignment horizontal="left" vertical="center" wrapText="1"/>
    </xf>
    <xf numFmtId="0" fontId="15" fillId="8" borderId="4" xfId="0" applyFont="1" applyFill="1" applyBorder="1" applyAlignment="1">
      <alignment vertical="center" wrapText="1"/>
    </xf>
    <xf numFmtId="0" fontId="16" fillId="20" borderId="0" xfId="0" applyFont="1" applyFill="1" applyAlignment="1">
      <alignment horizontal="center" wrapText="1"/>
    </xf>
    <xf numFmtId="0" fontId="0" fillId="8" borderId="4" xfId="0" applyFill="1" applyBorder="1" applyAlignment="1">
      <alignment horizontal="left" vertical="center" wrapText="1"/>
    </xf>
    <xf numFmtId="0" fontId="15" fillId="8"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0" fillId="0" borderId="0" xfId="0" applyAlignment="1">
      <alignment horizontal="left" vertical="center" wrapText="1"/>
    </xf>
    <xf numFmtId="0" fontId="7" fillId="0" borderId="8" xfId="0" applyFont="1" applyBorder="1" applyAlignment="1">
      <alignment horizontal="center"/>
    </xf>
    <xf numFmtId="0" fontId="7" fillId="0" borderId="8" xfId="0" applyFont="1" applyBorder="1" applyAlignment="1">
      <alignment horizontal="left" wrapText="1"/>
    </xf>
    <xf numFmtId="0" fontId="14" fillId="23" borderId="7" xfId="0" applyFont="1" applyFill="1" applyBorder="1" applyAlignment="1">
      <alignment wrapText="1"/>
    </xf>
    <xf numFmtId="0" fontId="15" fillId="24" borderId="29" xfId="0" applyFont="1" applyFill="1" applyBorder="1" applyAlignment="1">
      <alignment horizontal="left" vertical="center" wrapText="1"/>
    </xf>
    <xf numFmtId="10" fontId="7" fillId="0" borderId="8" xfId="0" applyNumberFormat="1" applyFont="1" applyBorder="1" applyAlignment="1">
      <alignment horizontal="center"/>
    </xf>
    <xf numFmtId="10" fontId="30" fillId="0" borderId="0" xfId="0" quotePrefix="1" applyNumberFormat="1" applyFont="1" applyAlignment="1">
      <alignment horizontal="center"/>
    </xf>
    <xf numFmtId="0" fontId="9" fillId="4" borderId="5" xfId="0" applyFont="1" applyFill="1" applyBorder="1" applyAlignment="1">
      <alignment horizontal="center" vertical="center" wrapText="1"/>
    </xf>
    <xf numFmtId="0" fontId="0" fillId="9" borderId="28" xfId="0" applyFill="1" applyBorder="1" applyAlignment="1">
      <alignment horizontal="center" vertical="center"/>
    </xf>
    <xf numFmtId="0" fontId="0" fillId="8" borderId="7" xfId="0" applyFill="1" applyBorder="1" applyAlignment="1">
      <alignment horizontal="center" vertical="center"/>
    </xf>
    <xf numFmtId="0" fontId="7" fillId="21" borderId="4" xfId="0" applyFont="1" applyFill="1" applyBorder="1" applyAlignment="1">
      <alignment horizontal="left" vertical="center" wrapText="1"/>
    </xf>
    <xf numFmtId="0" fontId="7" fillId="8" borderId="4" xfId="0" applyFont="1" applyFill="1" applyBorder="1" applyAlignment="1">
      <alignment horizontal="left" vertical="center" wrapText="1"/>
    </xf>
    <xf numFmtId="0" fontId="0" fillId="8" borderId="4" xfId="0" applyFill="1" applyBorder="1" applyAlignment="1">
      <alignment horizontal="left" vertical="center"/>
    </xf>
    <xf numFmtId="0" fontId="7" fillId="9" borderId="4" xfId="0" applyFont="1" applyFill="1" applyBorder="1" applyAlignment="1">
      <alignment horizontal="left" vertical="center" wrapText="1"/>
    </xf>
    <xf numFmtId="0" fontId="0" fillId="21" borderId="4" xfId="0" applyFill="1" applyBorder="1" applyAlignment="1">
      <alignment horizontal="left" vertical="center" wrapText="1"/>
    </xf>
    <xf numFmtId="0" fontId="0" fillId="21" borderId="4" xfId="0" applyFill="1" applyBorder="1" applyAlignment="1">
      <alignment horizontal="center" vertical="center"/>
    </xf>
    <xf numFmtId="0" fontId="7" fillId="20" borderId="4" xfId="0" applyFont="1" applyFill="1" applyBorder="1" applyAlignment="1">
      <alignment horizontal="left" vertical="center" wrapText="1"/>
    </xf>
    <xf numFmtId="0" fontId="0" fillId="9" borderId="8" xfId="0" applyFill="1" applyBorder="1" applyAlignment="1" applyProtection="1">
      <alignment vertical="center" wrapText="1"/>
      <protection locked="0"/>
    </xf>
    <xf numFmtId="0" fontId="14" fillId="27" borderId="0" xfId="0" applyFont="1" applyFill="1"/>
    <xf numFmtId="166" fontId="0" fillId="0" borderId="0" xfId="0" applyNumberFormat="1"/>
    <xf numFmtId="2" fontId="0" fillId="0" borderId="0" xfId="0" applyNumberFormat="1"/>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0" fillId="2" borderId="0" xfId="0"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13" borderId="0" xfId="0" applyFill="1" applyAlignment="1">
      <alignment horizontal="center" vertical="center" wrapText="1"/>
    </xf>
    <xf numFmtId="0" fontId="0" fillId="13" borderId="0" xfId="0" applyFill="1" applyAlignment="1">
      <alignment horizontal="center" vertical="center"/>
    </xf>
    <xf numFmtId="0" fontId="0" fillId="2" borderId="0" xfId="0" applyFill="1" applyAlignment="1">
      <alignment horizontal="center" vertical="center" wrapText="1"/>
    </xf>
    <xf numFmtId="0" fontId="0" fillId="4" borderId="6" xfId="0" applyFill="1" applyBorder="1" applyAlignment="1">
      <alignment horizontal="center" vertical="center" wrapText="1"/>
    </xf>
    <xf numFmtId="0" fontId="0" fillId="2" borderId="0" xfId="0" applyFill="1" applyAlignment="1">
      <alignment horizontal="center"/>
    </xf>
    <xf numFmtId="0" fontId="25" fillId="0" borderId="0" xfId="0" applyFont="1" applyAlignment="1">
      <alignment horizontal="left" wrapText="1"/>
    </xf>
    <xf numFmtId="0" fontId="17" fillId="0" borderId="0" xfId="0" applyFont="1"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4" borderId="9" xfId="0" applyFill="1" applyBorder="1" applyAlignment="1">
      <alignment horizontal="center" vertical="center" wrapText="1"/>
    </xf>
    <xf numFmtId="0" fontId="0" fillId="12" borderId="0" xfId="0" applyFill="1" applyAlignment="1">
      <alignment horizontal="center" vertical="center" wrapText="1"/>
    </xf>
    <xf numFmtId="0" fontId="0" fillId="11" borderId="0" xfId="0" applyFill="1" applyAlignment="1">
      <alignment horizontal="center" vertical="center" wrapText="1"/>
    </xf>
    <xf numFmtId="0" fontId="7" fillId="27" borderId="0" xfId="0" applyFont="1" applyFill="1" applyAlignment="1">
      <alignment horizontal="center" vertical="center" wrapText="1"/>
    </xf>
    <xf numFmtId="0" fontId="0" fillId="6" borderId="0" xfId="0" applyFill="1" applyAlignment="1">
      <alignment horizontal="center" vertical="center"/>
    </xf>
    <xf numFmtId="0" fontId="0" fillId="0" borderId="0" xfId="0" applyAlignment="1">
      <alignment horizontal="center" vertic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11" borderId="0" xfId="0" applyFill="1" applyAlignment="1">
      <alignment horizontal="center" vertical="center"/>
    </xf>
    <xf numFmtId="0" fontId="0" fillId="0" borderId="35" xfId="0" applyBorder="1" applyAlignment="1">
      <alignment horizontal="center"/>
    </xf>
    <xf numFmtId="0" fontId="0" fillId="0" borderId="0" xfId="0" applyAlignment="1">
      <alignment horizontal="center"/>
    </xf>
    <xf numFmtId="0" fontId="0" fillId="14" borderId="0" xfId="0" applyFill="1" applyAlignment="1">
      <alignment horizontal="center" vertical="center"/>
    </xf>
    <xf numFmtId="0" fontId="17" fillId="3" borderId="0" xfId="0" applyFont="1" applyFill="1" applyAlignment="1">
      <alignment horizontal="center"/>
    </xf>
    <xf numFmtId="0" fontId="14" fillId="9" borderId="4" xfId="0" applyFont="1" applyFill="1" applyBorder="1" applyAlignment="1">
      <alignment horizontal="left" vertical="center" wrapText="1"/>
    </xf>
    <xf numFmtId="0" fontId="14" fillId="21" borderId="0" xfId="0" applyFont="1" applyFill="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uciane Moessa de Souza" id="{23269A27-45F6-47D9-8AEC-B1C6209C46E0}" userId="0bd19d0f3f74c0be" providerId="Windows Live"/>
  <person displayName="Gabriel Kuriyama" id="{DF6B2249-FB46-4DEA-B4FE-EAE9B17A56B2}" userId="6d0b8988e7e94de4"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1" dT="2022-10-24T00:56:28.77" personId="{DF6B2249-FB46-4DEA-B4FE-EAE9B17A56B2}" id="{8DE2772B-C5CA-4E7C-90DC-0365064001F4}">
    <text xml:space="preserve">
Indústria de material Elétrico, Eletrônico e Comunicações ?
</text>
  </threadedComment>
  <threadedComment ref="E31" dT="2022-10-24T14:03:22.40" personId="{23269A27-45F6-47D9-8AEC-B1C6209C46E0}" id="{BABFDDBF-76E2-49E6-82E9-2B9DB6A99D5C}" parentId="{8DE2772B-C5CA-4E7C-90DC-0365064001F4}">
    <text>Gabriel, não me parece ser o caso (veja a definição dessa indústria). O fato é que depende muito tb de qual é a matriz energética... e a norma não traz mesmo produção/distribuição/transmissão de energia, já chequei. Um amigo com grande experiência na área ambiental me informou que, na realidade, cada Estado tem sua própria classificação. Vou olhar todos esses casos que vc colocou em vermelho com calma, OK!</text>
  </threadedComment>
  <threadedComment ref="E31" dT="2022-10-24T14:29:06.43" personId="{DF6B2249-FB46-4DEA-B4FE-EAE9B17A56B2}" id="{D5C7694B-F037-4579-BD3E-3141A19A90F0}" parentId="{8DE2772B-C5CA-4E7C-90DC-0365064001F4}">
    <text xml:space="preserve">OK, obrigado, Lu!
</text>
  </threadedComment>
</ThreadedComment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R64"/>
  <sheetViews>
    <sheetView zoomScale="70" zoomScaleNormal="70" workbookViewId="0">
      <pane xSplit="1" topLeftCell="D1" activePane="topRight" state="frozen"/>
      <selection pane="topRight" activeCell="C65" sqref="C65"/>
    </sheetView>
  </sheetViews>
  <sheetFormatPr defaultColWidth="10.83203125" defaultRowHeight="15.5"/>
  <cols>
    <col min="1" max="1" width="54" style="1" customWidth="1"/>
    <col min="2" max="2" width="21.58203125" style="92" customWidth="1"/>
    <col min="3" max="3" width="21.83203125" style="1" customWidth="1"/>
    <col min="4" max="4" width="27.08203125" style="1" customWidth="1"/>
    <col min="5" max="5" width="25.08203125" style="1" customWidth="1"/>
    <col min="6" max="6" width="21.5" style="1" customWidth="1"/>
    <col min="7" max="8" width="25.83203125" style="1" customWidth="1"/>
    <col min="9" max="9" width="32" style="1" customWidth="1"/>
    <col min="10" max="12" width="32.5" style="1" customWidth="1"/>
    <col min="13" max="13" width="24" style="1" customWidth="1"/>
    <col min="14" max="14" width="15.5" style="1" customWidth="1"/>
    <col min="15" max="15" width="14.83203125" style="1" customWidth="1"/>
    <col min="16" max="16" width="16.5" style="1" customWidth="1"/>
    <col min="17" max="17" width="10.83203125" style="1" customWidth="1"/>
    <col min="18" max="16384" width="10.83203125" style="1"/>
  </cols>
  <sheetData>
    <row r="1" spans="1:16" ht="78" thickTop="1">
      <c r="A1" s="5" t="s">
        <v>0</v>
      </c>
      <c r="B1" s="89" t="s">
        <v>1</v>
      </c>
      <c r="C1" s="4" t="s">
        <v>2</v>
      </c>
      <c r="D1" s="4" t="s">
        <v>3</v>
      </c>
      <c r="E1" s="4" t="s">
        <v>4</v>
      </c>
      <c r="F1" s="4" t="s">
        <v>5</v>
      </c>
      <c r="G1" s="4" t="s">
        <v>6</v>
      </c>
      <c r="H1" s="4" t="s">
        <v>7</v>
      </c>
      <c r="I1" s="4" t="s">
        <v>8</v>
      </c>
      <c r="J1" s="4" t="s">
        <v>9</v>
      </c>
      <c r="K1" s="4" t="s">
        <v>10</v>
      </c>
      <c r="L1" s="4" t="s">
        <v>11</v>
      </c>
      <c r="M1" s="4" t="s">
        <v>12</v>
      </c>
      <c r="N1" s="5" t="s">
        <v>13</v>
      </c>
      <c r="O1" s="11" t="s">
        <v>14</v>
      </c>
      <c r="P1" s="11" t="s">
        <v>15</v>
      </c>
    </row>
    <row r="2" spans="1:16" ht="25" customHeight="1">
      <c r="A2" s="3"/>
      <c r="B2" s="95">
        <v>0.03</v>
      </c>
      <c r="C2" s="7">
        <v>7.0000000000000007E-2</v>
      </c>
      <c r="D2" s="7">
        <v>0.2</v>
      </c>
      <c r="E2" s="7">
        <v>0.05</v>
      </c>
      <c r="F2" s="7">
        <v>0.1</v>
      </c>
      <c r="G2" s="14">
        <v>0.1</v>
      </c>
      <c r="H2" s="7">
        <v>0.1</v>
      </c>
      <c r="I2" s="7">
        <v>0.1</v>
      </c>
      <c r="J2" s="8">
        <v>0.1</v>
      </c>
      <c r="K2" s="7">
        <v>0.05</v>
      </c>
      <c r="L2" s="7">
        <v>0.1</v>
      </c>
      <c r="M2" s="24">
        <v>-0.05</v>
      </c>
      <c r="N2" s="23">
        <f>SUM(B2:M2)</f>
        <v>0.95</v>
      </c>
      <c r="O2" s="11"/>
      <c r="P2" s="12"/>
    </row>
    <row r="3" spans="1:16">
      <c r="A3" s="9" t="s">
        <v>16</v>
      </c>
      <c r="B3" s="90">
        <f>'Presença nas Políticas'!C3</f>
        <v>66.666666669999998</v>
      </c>
      <c r="C3" s="20">
        <f>'Profundidade de Políticas'!C3</f>
        <v>0</v>
      </c>
      <c r="D3" s="20">
        <f>'Bases de dados'!J88</f>
        <v>0.88</v>
      </c>
      <c r="E3" s="20">
        <f>'Relevância processo decisório'!F9</f>
        <v>60</v>
      </c>
      <c r="F3" s="20">
        <f>'Monitoramento de riscos'!E17</f>
        <v>14</v>
      </c>
      <c r="G3" s="80">
        <f>'Ações de mitigação de riscos'!H23</f>
        <v>0</v>
      </c>
      <c r="H3" s="20">
        <f>'Produtos financeiros'!K3</f>
        <v>0</v>
      </c>
      <c r="I3" s="20">
        <f>'Portfólio (setor)'!F13</f>
        <v>78.571428571428569</v>
      </c>
      <c r="J3" s="20">
        <f>'Portfólio (localização)'!F13</f>
        <v>0</v>
      </c>
      <c r="K3" s="20">
        <f>'Portfólio (empresa)'!G22</f>
        <v>0</v>
      </c>
      <c r="L3" s="20">
        <f>Governança!$G$25</f>
        <v>25.55</v>
      </c>
      <c r="M3" s="20">
        <f>Controvérsias!G22</f>
        <v>0</v>
      </c>
      <c r="N3" s="2">
        <f>SUMPRODUCT($B$2:$M$2,B3:M3)</f>
        <v>16.98814285724286</v>
      </c>
      <c r="O3" s="16">
        <v>0.05</v>
      </c>
      <c r="P3" s="2">
        <f>SUMPRODUCT(N3,O3)</f>
        <v>0.84940714286214303</v>
      </c>
    </row>
    <row r="4" spans="1:16">
      <c r="A4" s="9"/>
      <c r="B4" s="90"/>
      <c r="C4" s="20"/>
      <c r="D4" s="20"/>
      <c r="E4" s="20"/>
      <c r="F4" s="20"/>
      <c r="G4" s="20"/>
      <c r="H4" s="20"/>
      <c r="I4" s="20"/>
      <c r="J4" s="20"/>
      <c r="K4" s="20"/>
      <c r="L4" s="20"/>
      <c r="M4" s="20"/>
      <c r="N4" s="2"/>
      <c r="O4" s="16"/>
      <c r="P4" s="2"/>
    </row>
    <row r="5" spans="1:16">
      <c r="A5" s="9" t="s">
        <v>17</v>
      </c>
      <c r="B5" s="94">
        <f>'Presença nas Políticas'!C5</f>
        <v>66.666666669999998</v>
      </c>
      <c r="C5" s="94">
        <f>'Profundidade de Políticas'!C5</f>
        <v>0</v>
      </c>
      <c r="D5" s="15">
        <f>'Bases de dados'!J88</f>
        <v>0.88</v>
      </c>
      <c r="E5" s="15">
        <f>'Relevância processo decisório'!F9</f>
        <v>60</v>
      </c>
      <c r="F5" s="15">
        <f>'Monitoramento de riscos'!E17</f>
        <v>14</v>
      </c>
      <c r="G5" s="81">
        <f>'Ações de mitigação de riscos'!H23</f>
        <v>0</v>
      </c>
      <c r="H5" s="15">
        <f>'Produtos financeiros'!K5</f>
        <v>0</v>
      </c>
      <c r="I5" s="15">
        <f>'Portfólio (setor)'!F13</f>
        <v>78.571428571428569</v>
      </c>
      <c r="J5" s="15">
        <f>'Portfólio (localização)'!F13</f>
        <v>0</v>
      </c>
      <c r="K5" s="15">
        <f>'Portfólio (empresa)'!G22</f>
        <v>0</v>
      </c>
      <c r="L5" s="15">
        <f>Governança!$G$25</f>
        <v>25.55</v>
      </c>
      <c r="M5" s="15">
        <f>Controvérsias!G22</f>
        <v>0</v>
      </c>
      <c r="N5" s="2">
        <f>SUMPRODUCT($B$2:$M$2,B5:M5)</f>
        <v>16.98814285724286</v>
      </c>
      <c r="O5" s="16">
        <v>0.05</v>
      </c>
      <c r="P5" s="2">
        <f t="shared" ref="P5:P59" si="0">SUMPRODUCT(N5,O5)</f>
        <v>0.84940714286214303</v>
      </c>
    </row>
    <row r="6" spans="1:16">
      <c r="A6" s="9"/>
      <c r="B6" s="94"/>
      <c r="C6" s="94"/>
      <c r="D6" s="15"/>
      <c r="E6" s="15"/>
      <c r="F6" s="15"/>
      <c r="G6" s="15"/>
      <c r="H6" s="15"/>
      <c r="I6" s="15"/>
      <c r="J6" s="15"/>
      <c r="K6" s="15"/>
      <c r="L6" s="15"/>
      <c r="M6" s="15"/>
      <c r="N6" s="2"/>
      <c r="O6" s="16"/>
      <c r="P6" s="2"/>
    </row>
    <row r="7" spans="1:16">
      <c r="A7" s="9" t="s">
        <v>18</v>
      </c>
      <c r="B7" s="90">
        <f>'Presença nas Políticas'!C7</f>
        <v>66.666666666666657</v>
      </c>
      <c r="C7" s="20">
        <f>'Profundidade de Políticas'!C7</f>
        <v>57.142857142857139</v>
      </c>
      <c r="D7" s="20">
        <f>'Bases de dados'!J88</f>
        <v>0.88</v>
      </c>
      <c r="E7" s="20">
        <f>'Relevância processo decisório'!F9</f>
        <v>60</v>
      </c>
      <c r="F7" s="20">
        <f>'Monitoramento de riscos'!E17</f>
        <v>14</v>
      </c>
      <c r="G7" s="80">
        <f>'Ações de mitigação de riscos'!H23</f>
        <v>0</v>
      </c>
      <c r="H7" s="20">
        <f>'Produtos financeiros'!K7</f>
        <v>10</v>
      </c>
      <c r="I7" s="20">
        <f>'Portfólio (setor)'!F13</f>
        <v>78.571428571428569</v>
      </c>
      <c r="J7" s="20">
        <f>'Portfólio (localização)'!F13</f>
        <v>0</v>
      </c>
      <c r="K7" s="20">
        <f>'Portfólio (empresa)'!G22</f>
        <v>0</v>
      </c>
      <c r="L7" s="20">
        <f>Governança!$G$25</f>
        <v>25.55</v>
      </c>
      <c r="M7" s="20">
        <f>Controvérsias!G22</f>
        <v>0</v>
      </c>
      <c r="N7" s="2">
        <f>SUMPRODUCT($B$2:$M$2,B7:M7)</f>
        <v>21.988142857142858</v>
      </c>
      <c r="O7" s="16">
        <v>0.04</v>
      </c>
      <c r="P7" s="2">
        <f t="shared" si="0"/>
        <v>0.87952571428571436</v>
      </c>
    </row>
    <row r="8" spans="1:16">
      <c r="A8" s="9"/>
      <c r="B8" s="90"/>
      <c r="C8" s="20"/>
      <c r="D8" s="20"/>
      <c r="E8" s="20"/>
      <c r="F8" s="20"/>
      <c r="G8" s="20"/>
      <c r="H8" s="20"/>
      <c r="I8" s="20"/>
      <c r="J8" s="20"/>
      <c r="K8" s="20"/>
      <c r="L8" s="20"/>
      <c r="M8" s="20"/>
      <c r="N8" s="2"/>
      <c r="O8" s="16"/>
      <c r="P8" s="2"/>
    </row>
    <row r="9" spans="1:16">
      <c r="A9" s="9" t="s">
        <v>19</v>
      </c>
      <c r="B9" s="94">
        <f>'Presença nas Políticas'!C9</f>
        <v>33.333333333333329</v>
      </c>
      <c r="C9" s="94">
        <f>'Profundidade de Políticas'!C9</f>
        <v>0</v>
      </c>
      <c r="D9" s="15">
        <f>'Bases de dados'!J88</f>
        <v>0.88</v>
      </c>
      <c r="E9" s="15">
        <f>'Relevância processo decisório'!F9</f>
        <v>60</v>
      </c>
      <c r="F9" s="15">
        <f>'Monitoramento de riscos'!E17</f>
        <v>14</v>
      </c>
      <c r="G9" s="81">
        <f>'Ações de mitigação de riscos'!H23</f>
        <v>0</v>
      </c>
      <c r="H9" s="15">
        <f>'Produtos financeiros'!K9</f>
        <v>0</v>
      </c>
      <c r="I9" s="15">
        <f>'Portfólio (setor)'!F13</f>
        <v>78.571428571428569</v>
      </c>
      <c r="J9" s="15">
        <f>'Portfólio (localização)'!F13</f>
        <v>0</v>
      </c>
      <c r="K9" s="15">
        <f>'Portfólio (empresa)'!G22</f>
        <v>0</v>
      </c>
      <c r="L9" s="15">
        <f>Governança!$G$25</f>
        <v>25.55</v>
      </c>
      <c r="M9" s="15">
        <f>Controvérsias!G22</f>
        <v>0</v>
      </c>
      <c r="N9" s="2">
        <f>SUMPRODUCT($B$2:$M$2,B9:M9)</f>
        <v>15.988142857142858</v>
      </c>
      <c r="O9" s="16">
        <v>0.04</v>
      </c>
      <c r="P9" s="2">
        <f t="shared" si="0"/>
        <v>0.63952571428571436</v>
      </c>
    </row>
    <row r="10" spans="1:16">
      <c r="A10" s="9"/>
      <c r="B10" s="94"/>
      <c r="C10" s="94"/>
      <c r="D10" s="15"/>
      <c r="E10" s="15"/>
      <c r="F10" s="15"/>
      <c r="G10" s="15"/>
      <c r="H10" s="15"/>
      <c r="I10" s="15"/>
      <c r="J10" s="15"/>
      <c r="K10" s="15"/>
      <c r="L10" s="15"/>
      <c r="M10" s="15"/>
      <c r="N10" s="2"/>
      <c r="O10" s="16"/>
      <c r="P10" s="2"/>
    </row>
    <row r="11" spans="1:16">
      <c r="A11" s="9" t="s">
        <v>20</v>
      </c>
      <c r="B11" s="90">
        <f>'Presença nas Políticas'!C11</f>
        <v>50</v>
      </c>
      <c r="C11" s="90">
        <f>'Profundidade de Políticas'!C11</f>
        <v>42.857142857142854</v>
      </c>
      <c r="D11" s="20">
        <f>'Bases de dados'!J88</f>
        <v>0.88</v>
      </c>
      <c r="E11" s="20">
        <f>'Relevância processo decisório'!F9</f>
        <v>60</v>
      </c>
      <c r="F11" s="20">
        <f>'Monitoramento de riscos'!E17</f>
        <v>14</v>
      </c>
      <c r="G11" s="80">
        <f>'Ações de mitigação de riscos'!H23</f>
        <v>0</v>
      </c>
      <c r="H11" s="20">
        <f>'Produtos financeiros'!K11</f>
        <v>0</v>
      </c>
      <c r="I11" s="20">
        <f>'Portfólio (setor)'!F13</f>
        <v>78.571428571428569</v>
      </c>
      <c r="J11" s="20">
        <f>'Portfólio (localização)'!F13</f>
        <v>0</v>
      </c>
      <c r="K11" s="20">
        <f>'Portfólio (empresa)'!G22</f>
        <v>0</v>
      </c>
      <c r="L11" s="20">
        <f>Governança!$G$25</f>
        <v>25.55</v>
      </c>
      <c r="M11" s="20">
        <f>Controvérsias!G22</f>
        <v>0</v>
      </c>
      <c r="N11" s="2">
        <f>SUMPRODUCT($B$2:$M$2,B11:M11)</f>
        <v>19.488142857142858</v>
      </c>
      <c r="O11" s="16">
        <v>0.05</v>
      </c>
      <c r="P11" s="2">
        <f t="shared" si="0"/>
        <v>0.97440714285714292</v>
      </c>
    </row>
    <row r="12" spans="1:16">
      <c r="A12" s="9"/>
      <c r="B12" s="90"/>
      <c r="C12" s="20"/>
      <c r="D12" s="20"/>
      <c r="E12" s="20"/>
      <c r="F12" s="20"/>
      <c r="G12" s="20"/>
      <c r="H12" s="20"/>
      <c r="I12" s="20"/>
      <c r="J12" s="20"/>
      <c r="K12" s="20"/>
      <c r="L12" s="20"/>
      <c r="M12" s="20"/>
      <c r="N12" s="2"/>
      <c r="O12" s="16"/>
      <c r="P12" s="2"/>
    </row>
    <row r="13" spans="1:16">
      <c r="A13" s="9" t="s">
        <v>21</v>
      </c>
      <c r="B13" s="94">
        <f>'Presença nas Políticas'!C13</f>
        <v>16.666666666666664</v>
      </c>
      <c r="C13" s="94">
        <f>'Profundidade de Políticas'!C13</f>
        <v>0</v>
      </c>
      <c r="D13" s="15">
        <f>'Bases de dados'!J88</f>
        <v>0.88</v>
      </c>
      <c r="E13" s="15">
        <f>'Relevância processo decisório'!F9</f>
        <v>60</v>
      </c>
      <c r="F13" s="15">
        <f>'Monitoramento de riscos'!E17</f>
        <v>14</v>
      </c>
      <c r="G13" s="81">
        <f>'Ações de mitigação de riscos'!H23</f>
        <v>0</v>
      </c>
      <c r="H13" s="15">
        <f>'Produtos financeiros'!K13</f>
        <v>0</v>
      </c>
      <c r="I13" s="15">
        <f>'Portfólio (setor)'!F13</f>
        <v>78.571428571428569</v>
      </c>
      <c r="J13" s="15">
        <f>'Portfólio (localização)'!F13</f>
        <v>0</v>
      </c>
      <c r="K13" s="15">
        <f>'Portfólio (empresa)'!G22</f>
        <v>0</v>
      </c>
      <c r="L13" s="15">
        <f>Governança!$G$25</f>
        <v>25.55</v>
      </c>
      <c r="M13" s="15">
        <f>Controvérsias!G22</f>
        <v>0</v>
      </c>
      <c r="N13" s="2">
        <f>SUMPRODUCT($B$2:$M$2,B13:M13)</f>
        <v>15.488142857142858</v>
      </c>
      <c r="O13" s="16">
        <v>0.04</v>
      </c>
      <c r="P13" s="2">
        <f t="shared" si="0"/>
        <v>0.61952571428571435</v>
      </c>
    </row>
    <row r="14" spans="1:16">
      <c r="A14" s="9"/>
      <c r="B14" s="94"/>
      <c r="C14" s="94"/>
      <c r="D14" s="15"/>
      <c r="E14" s="15"/>
      <c r="F14" s="15"/>
      <c r="G14" s="15"/>
      <c r="H14" s="15"/>
      <c r="I14" s="15"/>
      <c r="J14" s="15"/>
      <c r="K14" s="15"/>
      <c r="L14" s="15"/>
      <c r="M14" s="15"/>
      <c r="N14" s="2"/>
      <c r="O14" s="16"/>
      <c r="P14" s="2"/>
    </row>
    <row r="15" spans="1:16">
      <c r="A15" s="9" t="s">
        <v>22</v>
      </c>
      <c r="B15" s="90">
        <f>'Presença nas Políticas'!C15</f>
        <v>16.666666666666664</v>
      </c>
      <c r="C15" s="20">
        <f>'Profundidade de Políticas'!C15</f>
        <v>0</v>
      </c>
      <c r="D15" s="20">
        <f>'Bases de dados'!J88</f>
        <v>0.88</v>
      </c>
      <c r="E15" s="20">
        <f>'Relevância processo decisório'!F9</f>
        <v>60</v>
      </c>
      <c r="F15" s="20">
        <f>'Monitoramento de riscos'!E17</f>
        <v>14</v>
      </c>
      <c r="G15" s="80">
        <f>'Ações de mitigação de riscos'!H23</f>
        <v>0</v>
      </c>
      <c r="H15" s="20">
        <f>'Produtos financeiros'!K15</f>
        <v>0</v>
      </c>
      <c r="I15" s="20">
        <f>'Portfólio (setor)'!F13</f>
        <v>78.571428571428569</v>
      </c>
      <c r="J15" s="20">
        <f>'Portfólio (localização)'!F13</f>
        <v>0</v>
      </c>
      <c r="K15" s="20">
        <f>'Portfólio (empresa)'!G22</f>
        <v>0</v>
      </c>
      <c r="L15" s="20">
        <f>Governança!$G$25</f>
        <v>25.55</v>
      </c>
      <c r="M15" s="20">
        <f>Controvérsias!G22</f>
        <v>0</v>
      </c>
      <c r="N15" s="2">
        <f>SUMPRODUCT($B$2:$M$2,B15:M15)</f>
        <v>15.488142857142858</v>
      </c>
      <c r="O15" s="16">
        <v>0.05</v>
      </c>
      <c r="P15" s="2">
        <f t="shared" si="0"/>
        <v>0.77440714285714296</v>
      </c>
    </row>
    <row r="16" spans="1:16">
      <c r="A16" s="9"/>
      <c r="B16" s="90"/>
      <c r="C16" s="20"/>
      <c r="D16" s="20"/>
      <c r="E16" s="20"/>
      <c r="F16" s="20"/>
      <c r="G16" s="20"/>
      <c r="H16" s="20"/>
      <c r="I16" s="20"/>
      <c r="J16" s="20"/>
      <c r="K16" s="20"/>
      <c r="L16" s="20"/>
      <c r="M16" s="20"/>
      <c r="N16" s="2"/>
      <c r="O16" s="16"/>
      <c r="P16" s="2"/>
    </row>
    <row r="17" spans="1:16">
      <c r="A17" s="9" t="s">
        <v>23</v>
      </c>
      <c r="B17" s="94">
        <f>'Presença nas Políticas'!C17</f>
        <v>16.666666666666664</v>
      </c>
      <c r="C17" s="94">
        <f>'Profundidade de Políticas'!C17</f>
        <v>71.428571428571431</v>
      </c>
      <c r="D17" s="15">
        <f>'Bases de dados'!J88</f>
        <v>0.88</v>
      </c>
      <c r="E17" s="15">
        <f>'Relevância processo decisório'!F9</f>
        <v>60</v>
      </c>
      <c r="F17" s="15">
        <f>'Monitoramento de riscos'!E17</f>
        <v>14</v>
      </c>
      <c r="G17" s="81">
        <f>'Ações de mitigação de riscos'!H23</f>
        <v>0</v>
      </c>
      <c r="H17" s="15">
        <f>'Produtos financeiros'!K17</f>
        <v>0</v>
      </c>
      <c r="I17" s="15">
        <f>'Portfólio (setor)'!F13</f>
        <v>78.571428571428569</v>
      </c>
      <c r="J17" s="15">
        <f>'Portfólio (localização)'!F13</f>
        <v>0</v>
      </c>
      <c r="K17" s="15">
        <f>'Portfólio (empresa)'!G22</f>
        <v>0</v>
      </c>
      <c r="L17" s="15">
        <f>Governança!$G$25</f>
        <v>25.55</v>
      </c>
      <c r="M17" s="15">
        <f>Controvérsias!G22</f>
        <v>0</v>
      </c>
      <c r="N17" s="2">
        <f>SUMPRODUCT($B$2:$M$2,B17:M17)</f>
        <v>20.488142857142861</v>
      </c>
      <c r="O17" s="16">
        <v>0.03</v>
      </c>
      <c r="P17" s="2">
        <f t="shared" si="0"/>
        <v>0.61464428571428587</v>
      </c>
    </row>
    <row r="18" spans="1:16">
      <c r="A18" s="9"/>
      <c r="B18" s="94"/>
      <c r="C18" s="94"/>
      <c r="D18" s="15"/>
      <c r="E18" s="15"/>
      <c r="F18" s="15"/>
      <c r="G18" s="15"/>
      <c r="H18" s="15"/>
      <c r="I18" s="15"/>
      <c r="J18" s="15"/>
      <c r="K18" s="15"/>
      <c r="L18" s="15"/>
      <c r="M18" s="15"/>
      <c r="N18" s="2"/>
      <c r="O18" s="16"/>
      <c r="P18" s="2"/>
    </row>
    <row r="19" spans="1:16">
      <c r="A19" s="9" t="s">
        <v>24</v>
      </c>
      <c r="B19" s="90">
        <f>'Presença nas Políticas'!C19</f>
        <v>16.666666666666664</v>
      </c>
      <c r="C19" s="20">
        <f>'Profundidade de Políticas'!C19</f>
        <v>0</v>
      </c>
      <c r="D19" s="20">
        <f>'Bases de dados'!J88</f>
        <v>0.88</v>
      </c>
      <c r="E19" s="20">
        <f>'Relevância processo decisório'!F9</f>
        <v>60</v>
      </c>
      <c r="F19" s="20">
        <f>'Monitoramento de riscos'!E17</f>
        <v>14</v>
      </c>
      <c r="G19" s="80">
        <f>'Ações de mitigação de riscos'!H23</f>
        <v>0</v>
      </c>
      <c r="H19" s="20">
        <f>'Produtos financeiros'!K19</f>
        <v>0</v>
      </c>
      <c r="I19" s="20">
        <f>'Portfólio (setor)'!F13</f>
        <v>78.571428571428569</v>
      </c>
      <c r="J19" s="20">
        <f>'Portfólio (localização)'!F13</f>
        <v>0</v>
      </c>
      <c r="K19" s="20">
        <f>'Portfólio (empresa)'!G22</f>
        <v>0</v>
      </c>
      <c r="L19" s="20">
        <f>Governança!$G$25</f>
        <v>25.55</v>
      </c>
      <c r="M19" s="20">
        <f>Controvérsias!G22</f>
        <v>0</v>
      </c>
      <c r="N19" s="2">
        <f>SUMPRODUCT($B$2:$M$2,B19:M19)</f>
        <v>15.488142857142858</v>
      </c>
      <c r="O19" s="16">
        <v>0.03</v>
      </c>
      <c r="P19" s="2">
        <f t="shared" si="0"/>
        <v>0.46464428571428573</v>
      </c>
    </row>
    <row r="20" spans="1:16">
      <c r="A20" s="9"/>
      <c r="B20" s="90"/>
      <c r="C20" s="20"/>
      <c r="D20" s="20"/>
      <c r="E20" s="20"/>
      <c r="F20" s="20"/>
      <c r="G20" s="20"/>
      <c r="H20" s="20"/>
      <c r="I20" s="20"/>
      <c r="J20" s="20"/>
      <c r="K20" s="20"/>
      <c r="L20" s="20"/>
      <c r="M20" s="20"/>
      <c r="N20" s="2"/>
      <c r="O20" s="16"/>
      <c r="P20" s="2"/>
    </row>
    <row r="21" spans="1:16">
      <c r="A21" s="9" t="s">
        <v>25</v>
      </c>
      <c r="B21" s="94">
        <f>'Presença nas Políticas'!C21</f>
        <v>0</v>
      </c>
      <c r="C21" s="94">
        <f>'Profundidade de Políticas'!C21</f>
        <v>42.857142857142854</v>
      </c>
      <c r="D21" s="15">
        <f>'Bases de dados'!J88</f>
        <v>0.88</v>
      </c>
      <c r="E21" s="15">
        <f>'Relevância processo decisório'!F9</f>
        <v>60</v>
      </c>
      <c r="F21" s="15">
        <f>'Monitoramento de riscos'!E17</f>
        <v>14</v>
      </c>
      <c r="G21" s="81">
        <f>'Ações de mitigação de riscos'!H23</f>
        <v>0</v>
      </c>
      <c r="H21" s="15">
        <f>'Produtos financeiros'!K21</f>
        <v>0</v>
      </c>
      <c r="I21" s="15">
        <f>'Portfólio (setor)'!F13</f>
        <v>78.571428571428569</v>
      </c>
      <c r="J21" s="15">
        <f>'Portfólio (localização)'!F13</f>
        <v>0</v>
      </c>
      <c r="K21" s="15">
        <f>'Portfólio (empresa)'!G22</f>
        <v>0</v>
      </c>
      <c r="L21" s="15">
        <f>Governança!$G$25</f>
        <v>25.55</v>
      </c>
      <c r="M21" s="15">
        <f>Controvérsias!G22</f>
        <v>0</v>
      </c>
      <c r="N21" s="2">
        <f>SUMPRODUCT($B$2:$M$2,B21:M21)</f>
        <v>17.988142857142858</v>
      </c>
      <c r="O21" s="16">
        <v>0.02</v>
      </c>
      <c r="P21" s="2">
        <f t="shared" si="0"/>
        <v>0.35976285714285716</v>
      </c>
    </row>
    <row r="22" spans="1:16">
      <c r="A22" s="9"/>
      <c r="B22" s="94"/>
      <c r="C22" s="94"/>
      <c r="D22" s="15"/>
      <c r="E22" s="15"/>
      <c r="F22" s="15"/>
      <c r="G22" s="15"/>
      <c r="H22" s="15"/>
      <c r="I22" s="15"/>
      <c r="J22" s="15"/>
      <c r="K22" s="15"/>
      <c r="L22" s="15"/>
      <c r="M22" s="15"/>
      <c r="N22" s="2"/>
      <c r="O22" s="16"/>
      <c r="P22" s="2"/>
    </row>
    <row r="23" spans="1:16">
      <c r="A23" s="9" t="s">
        <v>26</v>
      </c>
      <c r="B23" s="90">
        <f>'Presença nas Políticas'!C23</f>
        <v>16.666666666666664</v>
      </c>
      <c r="C23" s="20">
        <f>'Profundidade de Políticas'!C23</f>
        <v>0</v>
      </c>
      <c r="D23" s="20">
        <f>'Bases de dados'!J88</f>
        <v>0.88</v>
      </c>
      <c r="E23" s="20">
        <f>'Relevância processo decisório'!F9</f>
        <v>60</v>
      </c>
      <c r="F23" s="20">
        <f>'Monitoramento de riscos'!E17</f>
        <v>14</v>
      </c>
      <c r="G23" s="80">
        <f>'Ações de mitigação de riscos'!H23</f>
        <v>0</v>
      </c>
      <c r="H23" s="20">
        <f>'Produtos financeiros'!K23</f>
        <v>0</v>
      </c>
      <c r="I23" s="20">
        <f>'Portfólio (setor)'!F13</f>
        <v>78.571428571428569</v>
      </c>
      <c r="J23" s="20">
        <f>'Portfólio (localização)'!F13</f>
        <v>0</v>
      </c>
      <c r="K23" s="20">
        <f>'Portfólio (empresa)'!G22</f>
        <v>0</v>
      </c>
      <c r="L23" s="20">
        <f>Governança!$G$25</f>
        <v>25.55</v>
      </c>
      <c r="M23" s="20">
        <f>Controvérsias!G22</f>
        <v>0</v>
      </c>
      <c r="N23" s="2">
        <f>SUMPRODUCT($B$2:$M$2,B23:M23)</f>
        <v>15.488142857142858</v>
      </c>
      <c r="O23" s="16">
        <v>0.03</v>
      </c>
      <c r="P23" s="2">
        <f t="shared" si="0"/>
        <v>0.46464428571428573</v>
      </c>
    </row>
    <row r="24" spans="1:16">
      <c r="A24" s="9"/>
      <c r="B24" s="90"/>
      <c r="C24" s="20"/>
      <c r="D24" s="20"/>
      <c r="E24" s="20"/>
      <c r="F24" s="20"/>
      <c r="G24" s="20"/>
      <c r="H24" s="20"/>
      <c r="I24" s="20"/>
      <c r="J24" s="20"/>
      <c r="K24" s="20"/>
      <c r="L24" s="20"/>
      <c r="M24" s="20"/>
      <c r="N24" s="2"/>
      <c r="O24" s="16"/>
      <c r="P24" s="2"/>
    </row>
    <row r="25" spans="1:16">
      <c r="A25" s="9" t="s">
        <v>27</v>
      </c>
      <c r="B25" s="94">
        <f>'Presença nas Políticas'!C25</f>
        <v>50</v>
      </c>
      <c r="C25" s="94">
        <f>'Profundidade de Políticas'!C25</f>
        <v>0</v>
      </c>
      <c r="D25" s="15">
        <f>'Bases de dados'!J88</f>
        <v>0.88</v>
      </c>
      <c r="E25" s="15">
        <f>'Relevância processo decisório'!F9</f>
        <v>60</v>
      </c>
      <c r="F25" s="15">
        <f>'Monitoramento de riscos'!E17</f>
        <v>14</v>
      </c>
      <c r="G25" s="81">
        <f>'Ações de mitigação de riscos'!H23</f>
        <v>0</v>
      </c>
      <c r="H25" s="15">
        <f>'Produtos financeiros'!K25</f>
        <v>0</v>
      </c>
      <c r="I25" s="15">
        <f>'Portfólio (setor)'!F13</f>
        <v>78.571428571428569</v>
      </c>
      <c r="J25" s="15">
        <f>'Portfólio (localização)'!F13</f>
        <v>0</v>
      </c>
      <c r="K25" s="15">
        <f>'Portfólio (empresa)'!G22</f>
        <v>0</v>
      </c>
      <c r="L25" s="15">
        <f>Governança!$G$25</f>
        <v>25.55</v>
      </c>
      <c r="M25" s="15">
        <f>Controvérsias!G22</f>
        <v>0</v>
      </c>
      <c r="N25" s="2">
        <f>SUMPRODUCT($B$2:$M$2,B25:M25)</f>
        <v>16.488142857142858</v>
      </c>
      <c r="O25" s="16">
        <v>0.04</v>
      </c>
      <c r="P25" s="2">
        <f t="shared" si="0"/>
        <v>0.65952571428571438</v>
      </c>
    </row>
    <row r="26" spans="1:16">
      <c r="A26" s="9"/>
      <c r="B26" s="94"/>
      <c r="C26" s="94"/>
      <c r="D26" s="15"/>
      <c r="E26" s="15"/>
      <c r="F26" s="15"/>
      <c r="G26" s="15"/>
      <c r="H26" s="15"/>
      <c r="I26" s="15"/>
      <c r="J26" s="15"/>
      <c r="K26" s="15"/>
      <c r="L26" s="15"/>
      <c r="M26" s="15"/>
      <c r="N26" s="2"/>
      <c r="O26" s="16"/>
      <c r="P26" s="2"/>
    </row>
    <row r="27" spans="1:16">
      <c r="A27" s="9" t="s">
        <v>28</v>
      </c>
      <c r="B27" s="90">
        <f>'Presença nas Políticas'!C27</f>
        <v>16.666666666666664</v>
      </c>
      <c r="C27" s="20">
        <f>'Profundidade de Políticas'!C27</f>
        <v>0</v>
      </c>
      <c r="D27" s="20">
        <f>'Bases de dados'!J88</f>
        <v>0.88</v>
      </c>
      <c r="E27" s="20">
        <f>'Relevância processo decisório'!F9</f>
        <v>60</v>
      </c>
      <c r="F27" s="20">
        <f>'Monitoramento de riscos'!E17</f>
        <v>14</v>
      </c>
      <c r="G27" s="80">
        <f>'Ações de mitigação de riscos'!H23</f>
        <v>0</v>
      </c>
      <c r="H27" s="20">
        <f>'Produtos financeiros'!K27</f>
        <v>0</v>
      </c>
      <c r="I27" s="20">
        <f>'Portfólio (setor)'!F13</f>
        <v>78.571428571428569</v>
      </c>
      <c r="J27" s="20">
        <f>'Portfólio (localização)'!F13</f>
        <v>0</v>
      </c>
      <c r="K27" s="20">
        <f>'Portfólio (empresa)'!G22</f>
        <v>0</v>
      </c>
      <c r="L27" s="20">
        <f>Governança!$G$25</f>
        <v>25.55</v>
      </c>
      <c r="M27" s="20">
        <f>Controvérsias!G22</f>
        <v>0</v>
      </c>
      <c r="N27" s="2">
        <f>SUMPRODUCT($B$2:$M$2,B27:M27)</f>
        <v>15.488142857142858</v>
      </c>
      <c r="O27" s="16">
        <v>0.02</v>
      </c>
      <c r="P27" s="2">
        <f t="shared" si="0"/>
        <v>0.30976285714285717</v>
      </c>
    </row>
    <row r="28" spans="1:16">
      <c r="A28" s="9"/>
      <c r="B28" s="90"/>
      <c r="C28" s="20"/>
      <c r="D28" s="20"/>
      <c r="E28" s="20"/>
      <c r="F28" s="20"/>
      <c r="G28" s="20"/>
      <c r="H28" s="20"/>
      <c r="I28" s="20"/>
      <c r="J28" s="20"/>
      <c r="K28" s="20"/>
      <c r="L28" s="20"/>
      <c r="M28" s="20"/>
      <c r="N28" s="2"/>
      <c r="O28" s="16"/>
      <c r="P28" s="2"/>
    </row>
    <row r="29" spans="1:16">
      <c r="A29" s="9" t="s">
        <v>29</v>
      </c>
      <c r="B29" s="94">
        <f>'Presença nas Políticas'!C29</f>
        <v>100</v>
      </c>
      <c r="C29" s="94">
        <f>'Profundidade de Políticas'!C29</f>
        <v>57.142857142857139</v>
      </c>
      <c r="D29" s="15">
        <f>'Bases de dados'!J88</f>
        <v>0.88</v>
      </c>
      <c r="E29" s="15">
        <f>'Relevância processo decisório'!F9</f>
        <v>60</v>
      </c>
      <c r="F29" s="15">
        <f>'Monitoramento de riscos'!E17</f>
        <v>14</v>
      </c>
      <c r="G29" s="81">
        <f>'Ações de mitigação de riscos'!H23</f>
        <v>0</v>
      </c>
      <c r="H29" s="15">
        <f>'Produtos financeiros'!K29</f>
        <v>0</v>
      </c>
      <c r="I29" s="15">
        <f>'Portfólio (setor)'!F13</f>
        <v>78.571428571428569</v>
      </c>
      <c r="J29" s="15">
        <f>'Portfólio (localização)'!F13</f>
        <v>0</v>
      </c>
      <c r="K29" s="15">
        <f>'Portfólio (empresa)'!G22</f>
        <v>0</v>
      </c>
      <c r="L29" s="15">
        <f>Governança!$G$25</f>
        <v>25.55</v>
      </c>
      <c r="M29" s="15">
        <f>Controvérsias!G22</f>
        <v>0</v>
      </c>
      <c r="N29" s="2">
        <f>SUMPRODUCT($B$2:$M$2,B29:M29)</f>
        <v>21.988142857142858</v>
      </c>
      <c r="O29" s="16">
        <v>0.04</v>
      </c>
      <c r="P29" s="2">
        <f t="shared" si="0"/>
        <v>0.87952571428571436</v>
      </c>
    </row>
    <row r="30" spans="1:16">
      <c r="A30" s="9"/>
      <c r="B30" s="94"/>
      <c r="C30" s="94"/>
      <c r="D30" s="15"/>
      <c r="E30" s="15"/>
      <c r="F30" s="15"/>
      <c r="G30" s="15"/>
      <c r="H30" s="15"/>
      <c r="I30" s="15"/>
      <c r="J30" s="15"/>
      <c r="K30" s="15"/>
      <c r="L30" s="15"/>
      <c r="M30" s="15"/>
      <c r="N30" s="2"/>
      <c r="O30" s="16"/>
      <c r="P30" s="2"/>
    </row>
    <row r="31" spans="1:16">
      <c r="A31" s="9" t="s">
        <v>30</v>
      </c>
      <c r="B31" s="90">
        <f>'Presença nas Políticas'!C31</f>
        <v>100</v>
      </c>
      <c r="C31" s="20">
        <f>'Profundidade de Políticas'!C31</f>
        <v>57.142857142857139</v>
      </c>
      <c r="D31" s="20">
        <f>'Bases de dados'!J88</f>
        <v>0.88</v>
      </c>
      <c r="E31" s="20">
        <f>'Relevância processo decisório'!F9</f>
        <v>60</v>
      </c>
      <c r="F31" s="20">
        <f>'Monitoramento de riscos'!E17</f>
        <v>14</v>
      </c>
      <c r="G31" s="80">
        <f>'Ações de mitigação de riscos'!H23</f>
        <v>0</v>
      </c>
      <c r="H31" s="20">
        <f>'Produtos financeiros'!K31</f>
        <v>0</v>
      </c>
      <c r="I31" s="20">
        <f>'Portfólio (setor)'!F13</f>
        <v>78.571428571428569</v>
      </c>
      <c r="J31" s="20">
        <f>'Portfólio (localização)'!F13</f>
        <v>0</v>
      </c>
      <c r="K31" s="20">
        <f>'Portfólio (empresa)'!G22</f>
        <v>0</v>
      </c>
      <c r="L31" s="20">
        <f>Governança!$G$25</f>
        <v>25.55</v>
      </c>
      <c r="M31" s="20">
        <f>Controvérsias!G22</f>
        <v>0</v>
      </c>
      <c r="N31" s="2">
        <f>SUMPRODUCT($B$2:$M$2,B31:M31)</f>
        <v>21.988142857142858</v>
      </c>
      <c r="O31" s="16">
        <v>0.03</v>
      </c>
      <c r="P31" s="2">
        <f t="shared" si="0"/>
        <v>0.65964428571428568</v>
      </c>
    </row>
    <row r="32" spans="1:16">
      <c r="A32" s="9"/>
      <c r="B32" s="90"/>
      <c r="C32" s="20"/>
      <c r="D32" s="20"/>
      <c r="E32" s="20"/>
      <c r="F32" s="20"/>
      <c r="G32" s="20"/>
      <c r="H32" s="20"/>
      <c r="I32" s="20"/>
      <c r="J32" s="20"/>
      <c r="K32" s="20"/>
      <c r="L32" s="20"/>
      <c r="M32" s="20"/>
      <c r="N32" s="2"/>
      <c r="O32" s="16"/>
      <c r="P32" s="2"/>
    </row>
    <row r="33" spans="1:16">
      <c r="A33" s="9" t="s">
        <v>31</v>
      </c>
      <c r="B33" s="94">
        <f>'Presença nas Políticas'!C33</f>
        <v>16.666666666666664</v>
      </c>
      <c r="C33" s="94">
        <f>'Profundidade de Políticas'!C33</f>
        <v>0</v>
      </c>
      <c r="D33" s="15">
        <f>'Bases de dados'!J88</f>
        <v>0.88</v>
      </c>
      <c r="E33" s="15">
        <f>'Relevância processo decisório'!F9</f>
        <v>60</v>
      </c>
      <c r="F33" s="15">
        <f>'Monitoramento de riscos'!E17</f>
        <v>14</v>
      </c>
      <c r="G33" s="81">
        <f>'Ações de mitigação de riscos'!H23</f>
        <v>0</v>
      </c>
      <c r="H33" s="15">
        <f>'Produtos financeiros'!K33</f>
        <v>0</v>
      </c>
      <c r="I33" s="15">
        <f>'Portfólio (setor)'!F13</f>
        <v>78.571428571428569</v>
      </c>
      <c r="J33" s="15">
        <f>'Portfólio (localização)'!F13</f>
        <v>0</v>
      </c>
      <c r="K33" s="15">
        <f>'Portfólio (empresa)'!G22</f>
        <v>0</v>
      </c>
      <c r="L33" s="15">
        <f>Governança!$G$25</f>
        <v>25.55</v>
      </c>
      <c r="M33" s="15">
        <f>Controvérsias!G22</f>
        <v>0</v>
      </c>
      <c r="N33" s="2">
        <f>SUMPRODUCT($B$2:$M$2,B33:M33)</f>
        <v>15.488142857142858</v>
      </c>
      <c r="O33" s="16">
        <v>0.04</v>
      </c>
      <c r="P33" s="2">
        <f t="shared" si="0"/>
        <v>0.61952571428571435</v>
      </c>
    </row>
    <row r="34" spans="1:16">
      <c r="A34" s="9"/>
      <c r="B34" s="94"/>
      <c r="C34" s="94"/>
      <c r="D34" s="15"/>
      <c r="E34" s="15"/>
      <c r="F34" s="15"/>
      <c r="G34" s="15"/>
      <c r="H34" s="15"/>
      <c r="I34" s="15"/>
      <c r="J34" s="15"/>
      <c r="K34" s="15"/>
      <c r="L34" s="15"/>
      <c r="M34" s="15"/>
      <c r="N34" s="2"/>
      <c r="O34" s="16"/>
      <c r="P34" s="2"/>
    </row>
    <row r="35" spans="1:16">
      <c r="A35" s="9" t="s">
        <v>32</v>
      </c>
      <c r="B35" s="90">
        <f>'Presença nas Políticas'!C35</f>
        <v>16.666666666666664</v>
      </c>
      <c r="C35" s="20">
        <f>'Profundidade de Políticas'!C35</f>
        <v>0</v>
      </c>
      <c r="D35" s="20">
        <f>'Bases de dados'!J88</f>
        <v>0.88</v>
      </c>
      <c r="E35" s="20">
        <f>'Relevância processo decisório'!F9</f>
        <v>60</v>
      </c>
      <c r="F35" s="20">
        <f>'Monitoramento de riscos'!E17</f>
        <v>14</v>
      </c>
      <c r="G35" s="80">
        <f>'Ações de mitigação de riscos'!H23</f>
        <v>0</v>
      </c>
      <c r="H35" s="20">
        <f>'Produtos financeiros'!K35</f>
        <v>0</v>
      </c>
      <c r="I35" s="20">
        <f>'Portfólio (setor)'!F13</f>
        <v>78.571428571428569</v>
      </c>
      <c r="J35" s="20">
        <f>'Portfólio (localização)'!F13</f>
        <v>0</v>
      </c>
      <c r="K35" s="20">
        <f>'Portfólio (empresa)'!G22</f>
        <v>0</v>
      </c>
      <c r="L35" s="20">
        <f>Governança!$G$25</f>
        <v>25.55</v>
      </c>
      <c r="M35" s="20">
        <f>Controvérsias!G22</f>
        <v>0</v>
      </c>
      <c r="N35" s="2">
        <f>SUMPRODUCT($B$2:$M$2,B35:M35)</f>
        <v>15.488142857142858</v>
      </c>
      <c r="O35" s="16">
        <v>0.04</v>
      </c>
      <c r="P35" s="2">
        <f t="shared" si="0"/>
        <v>0.61952571428571435</v>
      </c>
    </row>
    <row r="36" spans="1:16">
      <c r="A36" s="9"/>
      <c r="B36" s="90"/>
      <c r="C36" s="20"/>
      <c r="D36" s="20"/>
      <c r="E36" s="20"/>
      <c r="F36" s="20"/>
      <c r="G36" s="20"/>
      <c r="H36" s="20"/>
      <c r="I36" s="20"/>
      <c r="J36" s="20"/>
      <c r="K36" s="20"/>
      <c r="L36" s="20"/>
      <c r="M36" s="20"/>
      <c r="N36" s="2"/>
      <c r="O36" s="16"/>
      <c r="P36" s="2"/>
    </row>
    <row r="37" spans="1:16">
      <c r="A37" s="9" t="s">
        <v>33</v>
      </c>
      <c r="B37" s="94">
        <f>'Presença nas Políticas'!C37</f>
        <v>0</v>
      </c>
      <c r="C37" s="94">
        <f>'Profundidade de Políticas'!C37</f>
        <v>0</v>
      </c>
      <c r="D37" s="15">
        <f>'Bases de dados'!J88</f>
        <v>0.88</v>
      </c>
      <c r="E37" s="15">
        <f>'Relevância processo decisório'!F9</f>
        <v>60</v>
      </c>
      <c r="F37" s="15">
        <f>'Monitoramento de riscos'!E17</f>
        <v>14</v>
      </c>
      <c r="G37" s="81">
        <f>'Ações de mitigação de riscos'!H23</f>
        <v>0</v>
      </c>
      <c r="H37" s="15">
        <f>'Produtos financeiros'!K37</f>
        <v>0</v>
      </c>
      <c r="I37" s="15">
        <f>'Portfólio (setor)'!F13</f>
        <v>78.571428571428569</v>
      </c>
      <c r="J37" s="15">
        <f>'Portfólio (localização)'!F13</f>
        <v>0</v>
      </c>
      <c r="K37" s="15">
        <f>'Portfólio (empresa)'!G22</f>
        <v>0</v>
      </c>
      <c r="L37" s="15">
        <f>Governança!$G$25</f>
        <v>25.55</v>
      </c>
      <c r="M37" s="15">
        <f>Controvérsias!G22</f>
        <v>0</v>
      </c>
      <c r="N37" s="2">
        <f>SUMPRODUCT($B$2:$M$2,B37:M37)</f>
        <v>14.988142857142858</v>
      </c>
      <c r="O37" s="16">
        <v>0.04</v>
      </c>
      <c r="P37" s="2">
        <f t="shared" si="0"/>
        <v>0.59952571428571433</v>
      </c>
    </row>
    <row r="38" spans="1:16">
      <c r="A38" s="9"/>
      <c r="B38" s="94"/>
      <c r="C38" s="94"/>
      <c r="D38" s="15"/>
      <c r="E38" s="15"/>
      <c r="F38" s="15"/>
      <c r="G38" s="15"/>
      <c r="H38" s="15"/>
      <c r="I38" s="15"/>
      <c r="J38" s="15"/>
      <c r="K38" s="15"/>
      <c r="L38" s="15"/>
      <c r="M38" s="15"/>
      <c r="N38" s="2"/>
      <c r="O38" s="16"/>
      <c r="P38" s="2"/>
    </row>
    <row r="39" spans="1:16">
      <c r="A39" s="9" t="s">
        <v>34</v>
      </c>
      <c r="B39" s="90">
        <f>'Presença nas Políticas'!C39</f>
        <v>0</v>
      </c>
      <c r="C39" s="20">
        <f>'Profundidade de Políticas'!C39</f>
        <v>0</v>
      </c>
      <c r="D39" s="20">
        <f>'Bases de dados'!J88</f>
        <v>0.88</v>
      </c>
      <c r="E39" s="20">
        <f>'Relevância processo decisório'!F9</f>
        <v>60</v>
      </c>
      <c r="F39" s="20">
        <f>'Monitoramento de riscos'!E17</f>
        <v>14</v>
      </c>
      <c r="G39" s="80">
        <f>'Ações de mitigação de riscos'!H23</f>
        <v>0</v>
      </c>
      <c r="H39" s="20">
        <f>'Produtos financeiros'!K39</f>
        <v>0</v>
      </c>
      <c r="I39" s="20">
        <f>'Portfólio (setor)'!F13</f>
        <v>78.571428571428569</v>
      </c>
      <c r="J39" s="20">
        <f>'Portfólio (localização)'!F13</f>
        <v>0</v>
      </c>
      <c r="K39" s="20">
        <f>'Portfólio (empresa)'!G22</f>
        <v>0</v>
      </c>
      <c r="L39" s="20">
        <f>Governança!$G$25</f>
        <v>25.55</v>
      </c>
      <c r="M39" s="20">
        <f>Controvérsias!G22</f>
        <v>0</v>
      </c>
      <c r="N39" s="2">
        <f>SUMPRODUCT($B$2:$M$2,B39:M39)</f>
        <v>14.988142857142858</v>
      </c>
      <c r="O39" s="16">
        <v>0.04</v>
      </c>
      <c r="P39" s="2">
        <f t="shared" si="0"/>
        <v>0.59952571428571433</v>
      </c>
    </row>
    <row r="40" spans="1:16">
      <c r="A40" s="9"/>
      <c r="B40" s="90"/>
      <c r="C40" s="20"/>
      <c r="D40" s="20"/>
      <c r="E40" s="20"/>
      <c r="F40" s="20"/>
      <c r="G40" s="20"/>
      <c r="H40" s="20"/>
      <c r="I40" s="20"/>
      <c r="J40" s="20"/>
      <c r="K40" s="20"/>
      <c r="L40" s="20"/>
      <c r="M40" s="20"/>
      <c r="N40" s="2"/>
      <c r="O40" s="16"/>
      <c r="P40" s="2"/>
    </row>
    <row r="41" spans="1:16">
      <c r="A41" s="9" t="s">
        <v>35</v>
      </c>
      <c r="B41" s="94">
        <f>'Presença nas Políticas'!C41</f>
        <v>0</v>
      </c>
      <c r="C41" s="94">
        <f>'Profundidade de Políticas'!C41</f>
        <v>0</v>
      </c>
      <c r="D41" s="15">
        <f>'Bases de dados'!J88</f>
        <v>0.88</v>
      </c>
      <c r="E41" s="15">
        <f>'Relevância processo decisório'!F9</f>
        <v>60</v>
      </c>
      <c r="F41" s="15">
        <f>'Monitoramento de riscos'!E17</f>
        <v>14</v>
      </c>
      <c r="G41" s="81">
        <f>'Ações de mitigação de riscos'!H23</f>
        <v>0</v>
      </c>
      <c r="H41" s="15">
        <f>'Produtos financeiros'!K41</f>
        <v>0</v>
      </c>
      <c r="I41" s="15">
        <f>'Portfólio (setor)'!F13</f>
        <v>78.571428571428569</v>
      </c>
      <c r="J41" s="15">
        <f>'Portfólio (localização)'!F13</f>
        <v>0</v>
      </c>
      <c r="K41" s="15">
        <f>'Portfólio (empresa)'!G22</f>
        <v>0</v>
      </c>
      <c r="L41" s="15">
        <f>Governança!$G$25</f>
        <v>25.55</v>
      </c>
      <c r="M41" s="15">
        <f>Controvérsias!G22</f>
        <v>0</v>
      </c>
      <c r="N41" s="2">
        <f>SUMPRODUCT($B$2:$M$2,B41:M41)</f>
        <v>14.988142857142858</v>
      </c>
      <c r="O41" s="16">
        <v>0.02</v>
      </c>
      <c r="P41" s="2">
        <f t="shared" si="0"/>
        <v>0.29976285714285716</v>
      </c>
    </row>
    <row r="42" spans="1:16">
      <c r="A42" s="9"/>
      <c r="B42" s="94"/>
      <c r="C42" s="94"/>
      <c r="D42" s="15"/>
      <c r="E42" s="15"/>
      <c r="F42" s="15"/>
      <c r="G42" s="15"/>
      <c r="H42" s="15"/>
      <c r="I42" s="15"/>
      <c r="J42" s="15"/>
      <c r="K42" s="15"/>
      <c r="L42" s="15"/>
      <c r="M42" s="15"/>
      <c r="N42" s="2"/>
      <c r="O42" s="16"/>
      <c r="P42" s="2"/>
    </row>
    <row r="43" spans="1:16">
      <c r="A43" s="9" t="s">
        <v>36</v>
      </c>
      <c r="B43" s="90">
        <f>'Presença nas Políticas'!C43</f>
        <v>66.666666666666657</v>
      </c>
      <c r="C43" s="20">
        <f>'Profundidade de Políticas'!C43</f>
        <v>42.857142857142854</v>
      </c>
      <c r="D43" s="20">
        <f>'Bases de dados'!J88</f>
        <v>0.88</v>
      </c>
      <c r="E43" s="20">
        <f>'Relevância processo decisório'!F9</f>
        <v>60</v>
      </c>
      <c r="F43" s="20">
        <f>'Monitoramento de riscos'!E17</f>
        <v>14</v>
      </c>
      <c r="G43" s="80">
        <f>'Ações de mitigação de riscos'!H23</f>
        <v>0</v>
      </c>
      <c r="H43" s="20">
        <f>'Produtos financeiros'!K43</f>
        <v>0</v>
      </c>
      <c r="I43" s="20">
        <f>'Portfólio (setor)'!F13</f>
        <v>78.571428571428569</v>
      </c>
      <c r="J43" s="20">
        <f>'Portfólio (localização)'!F13</f>
        <v>0</v>
      </c>
      <c r="K43" s="20">
        <f>'Portfólio (empresa)'!G22</f>
        <v>0</v>
      </c>
      <c r="L43" s="20">
        <f>Governança!$G$25</f>
        <v>25.55</v>
      </c>
      <c r="M43" s="20">
        <f>Controvérsias!G22</f>
        <v>0</v>
      </c>
      <c r="N43" s="2">
        <f>SUMPRODUCT($B$2:$M$2,B43:M43)</f>
        <v>19.988142857142858</v>
      </c>
      <c r="O43" s="16">
        <v>0.04</v>
      </c>
      <c r="P43" s="2">
        <f t="shared" si="0"/>
        <v>0.79952571428571428</v>
      </c>
    </row>
    <row r="44" spans="1:16">
      <c r="A44" s="9"/>
      <c r="B44" s="90"/>
      <c r="C44" s="20"/>
      <c r="D44" s="20"/>
      <c r="E44" s="20"/>
      <c r="F44" s="20"/>
      <c r="G44" s="20"/>
      <c r="H44" s="20"/>
      <c r="I44" s="20"/>
      <c r="J44" s="20"/>
      <c r="K44" s="20"/>
      <c r="L44" s="20"/>
      <c r="M44" s="20"/>
      <c r="N44" s="2"/>
      <c r="O44" s="16"/>
      <c r="P44" s="2"/>
    </row>
    <row r="45" spans="1:16">
      <c r="A45" s="9" t="s">
        <v>37</v>
      </c>
      <c r="B45" s="94">
        <f>'Presença nas Políticas'!C45</f>
        <v>16.666666666666664</v>
      </c>
      <c r="C45" s="15">
        <f>'Profundidade de Políticas'!C45</f>
        <v>0</v>
      </c>
      <c r="D45" s="15">
        <f>'Bases de dados'!J88</f>
        <v>0.88</v>
      </c>
      <c r="E45" s="15">
        <f>'Relevância processo decisório'!F9</f>
        <v>60</v>
      </c>
      <c r="F45" s="15">
        <f>'Monitoramento de riscos'!E17</f>
        <v>14</v>
      </c>
      <c r="G45" s="81">
        <f>'Ações de mitigação de riscos'!H23</f>
        <v>0</v>
      </c>
      <c r="H45" s="15">
        <f>'Produtos financeiros'!K45</f>
        <v>0</v>
      </c>
      <c r="I45" s="15">
        <f>'Portfólio (setor)'!F13</f>
        <v>78.571428571428569</v>
      </c>
      <c r="J45" s="15">
        <f>'Portfólio (localização)'!F13</f>
        <v>0</v>
      </c>
      <c r="K45" s="15">
        <f>'Portfólio (empresa)'!G22</f>
        <v>0</v>
      </c>
      <c r="L45" s="15">
        <f>Governança!$G$25</f>
        <v>25.55</v>
      </c>
      <c r="M45" s="15">
        <f>Controvérsias!G22</f>
        <v>0</v>
      </c>
      <c r="N45" s="2">
        <f>SUMPRODUCT($B$2:$M$2,B45:M45)</f>
        <v>15.488142857142858</v>
      </c>
      <c r="O45" s="16">
        <v>0.03</v>
      </c>
      <c r="P45" s="2">
        <f t="shared" si="0"/>
        <v>0.46464428571428573</v>
      </c>
    </row>
    <row r="46" spans="1:16">
      <c r="A46" s="9"/>
      <c r="B46" s="94"/>
      <c r="C46" s="15"/>
      <c r="D46" s="15"/>
      <c r="E46" s="15"/>
      <c r="F46" s="15"/>
      <c r="G46" s="15"/>
      <c r="H46" s="15"/>
      <c r="I46" s="15"/>
      <c r="J46" s="15"/>
      <c r="K46" s="15"/>
      <c r="L46" s="15"/>
      <c r="M46" s="15"/>
      <c r="N46" s="2"/>
      <c r="O46" s="16"/>
      <c r="P46" s="2"/>
    </row>
    <row r="47" spans="1:16">
      <c r="A47" s="9" t="s">
        <v>38</v>
      </c>
      <c r="B47" s="90">
        <f>'Presença nas Políticas'!C47</f>
        <v>0</v>
      </c>
      <c r="C47" s="20">
        <f>'Profundidade de Políticas'!C47</f>
        <v>0</v>
      </c>
      <c r="D47" s="20">
        <f>'Bases de dados'!J88</f>
        <v>0.88</v>
      </c>
      <c r="E47" s="20">
        <f>'Relevância processo decisório'!F9</f>
        <v>60</v>
      </c>
      <c r="F47" s="20">
        <f>'Monitoramento de riscos'!E17</f>
        <v>14</v>
      </c>
      <c r="G47" s="80">
        <f>'Ações de mitigação de riscos'!H23</f>
        <v>0</v>
      </c>
      <c r="H47" s="20">
        <f>'Produtos financeiros'!K47</f>
        <v>0</v>
      </c>
      <c r="I47" s="20">
        <f>'Portfólio (setor)'!F13</f>
        <v>78.571428571428569</v>
      </c>
      <c r="J47" s="20">
        <f>'Portfólio (localização)'!F13</f>
        <v>0</v>
      </c>
      <c r="K47" s="20">
        <f>'Portfólio (empresa)'!G22</f>
        <v>0</v>
      </c>
      <c r="L47" s="20">
        <f>Governança!$G$25</f>
        <v>25.55</v>
      </c>
      <c r="M47" s="20">
        <f>Controvérsias!G22</f>
        <v>0</v>
      </c>
      <c r="N47" s="2">
        <f>SUMPRODUCT($B$2:$M$2,B47:M47)</f>
        <v>14.988142857142858</v>
      </c>
      <c r="O47" s="16">
        <v>0.02</v>
      </c>
      <c r="P47" s="2">
        <f t="shared" si="0"/>
        <v>0.29976285714285716</v>
      </c>
    </row>
    <row r="48" spans="1:16">
      <c r="A48" s="9"/>
      <c r="B48" s="90"/>
      <c r="C48" s="20"/>
      <c r="D48" s="20"/>
      <c r="E48" s="20"/>
      <c r="F48" s="20"/>
      <c r="G48" s="20"/>
      <c r="H48" s="20"/>
      <c r="I48" s="20"/>
      <c r="J48" s="20"/>
      <c r="K48" s="20"/>
      <c r="L48" s="20"/>
      <c r="M48" s="20"/>
      <c r="N48" s="2"/>
      <c r="O48" s="16"/>
      <c r="P48" s="2"/>
    </row>
    <row r="49" spans="1:18">
      <c r="A49" s="9" t="s">
        <v>39</v>
      </c>
      <c r="B49" s="94">
        <f>'Presença nas Políticas'!C49</f>
        <v>33.333333333333329</v>
      </c>
      <c r="C49" s="94">
        <f>'Profundidade de Políticas'!C49</f>
        <v>0</v>
      </c>
      <c r="D49" s="15">
        <f>'Bases de dados'!J88</f>
        <v>0.88</v>
      </c>
      <c r="E49" s="15">
        <f>'Relevância processo decisório'!F9</f>
        <v>60</v>
      </c>
      <c r="F49" s="15">
        <f>'Monitoramento de riscos'!E17</f>
        <v>14</v>
      </c>
      <c r="G49" s="81">
        <f>'Ações de mitigação de riscos'!H23</f>
        <v>0</v>
      </c>
      <c r="H49" s="15">
        <f>'Produtos financeiros'!K49</f>
        <v>0</v>
      </c>
      <c r="I49" s="15">
        <f>'Portfólio (setor)'!F13</f>
        <v>78.571428571428569</v>
      </c>
      <c r="J49" s="15">
        <f>'Portfólio (localização)'!F13</f>
        <v>0</v>
      </c>
      <c r="K49" s="15">
        <f>'Portfólio (empresa)'!G22</f>
        <v>0</v>
      </c>
      <c r="L49" s="15">
        <f>Governança!$G$25</f>
        <v>25.55</v>
      </c>
      <c r="M49" s="15">
        <f>Controvérsias!G22</f>
        <v>0</v>
      </c>
      <c r="N49" s="2">
        <f>SUMPRODUCT($B$2:$M$2,B49:M49)</f>
        <v>15.988142857142858</v>
      </c>
      <c r="O49" s="16">
        <v>0.03</v>
      </c>
      <c r="P49" s="2">
        <f t="shared" si="0"/>
        <v>0.47964428571428575</v>
      </c>
    </row>
    <row r="50" spans="1:18">
      <c r="A50" s="9"/>
      <c r="B50" s="94"/>
      <c r="C50" s="94"/>
      <c r="D50" s="15"/>
      <c r="E50" s="15"/>
      <c r="F50" s="15"/>
      <c r="G50" s="15"/>
      <c r="H50" s="15"/>
      <c r="I50" s="15"/>
      <c r="J50" s="15"/>
      <c r="K50" s="15"/>
      <c r="L50" s="15"/>
      <c r="M50" s="15"/>
      <c r="N50" s="2"/>
      <c r="O50" s="16"/>
      <c r="P50" s="2"/>
    </row>
    <row r="51" spans="1:18">
      <c r="A51" s="9" t="s">
        <v>40</v>
      </c>
      <c r="B51" s="90">
        <f>'Presença nas Políticas'!C51</f>
        <v>33.333333333333329</v>
      </c>
      <c r="C51" s="20">
        <f>'Profundidade de Políticas'!C51</f>
        <v>42.857142857142854</v>
      </c>
      <c r="D51" s="20">
        <f>'Bases de dados'!J88</f>
        <v>0.88</v>
      </c>
      <c r="E51" s="20">
        <f>'Relevância processo decisório'!F9</f>
        <v>60</v>
      </c>
      <c r="F51" s="20">
        <f>'Monitoramento de riscos'!E17</f>
        <v>14</v>
      </c>
      <c r="G51" s="80">
        <f>'Ações de mitigação de riscos'!H23</f>
        <v>0</v>
      </c>
      <c r="H51" s="20">
        <f>'Produtos financeiros'!K51</f>
        <v>0</v>
      </c>
      <c r="I51" s="20">
        <f>'Portfólio (setor)'!F13</f>
        <v>78.571428571428569</v>
      </c>
      <c r="J51" s="20">
        <f>'Portfólio (localização)'!F13</f>
        <v>0</v>
      </c>
      <c r="K51" s="20">
        <f>'Portfólio (empresa)'!G22</f>
        <v>0</v>
      </c>
      <c r="L51" s="20">
        <f>Governança!$G$25</f>
        <v>25.55</v>
      </c>
      <c r="M51" s="20">
        <f>Controvérsias!G22</f>
        <v>0</v>
      </c>
      <c r="N51" s="2">
        <f>SUMPRODUCT($B$2:$M$2,B51:M51)</f>
        <v>18.988142857142858</v>
      </c>
      <c r="O51" s="16">
        <v>0.03</v>
      </c>
      <c r="P51" s="2">
        <f t="shared" si="0"/>
        <v>0.56964428571428571</v>
      </c>
    </row>
    <row r="52" spans="1:18">
      <c r="A52" s="9"/>
      <c r="B52" s="90"/>
      <c r="C52" s="20"/>
      <c r="D52" s="20"/>
      <c r="E52" s="20"/>
      <c r="F52" s="20"/>
      <c r="G52" s="20"/>
      <c r="H52" s="20"/>
      <c r="I52" s="20"/>
      <c r="J52" s="20"/>
      <c r="K52" s="20"/>
      <c r="L52" s="20"/>
      <c r="M52" s="20"/>
      <c r="N52" s="2"/>
      <c r="O52" s="16"/>
      <c r="P52" s="2"/>
    </row>
    <row r="53" spans="1:18">
      <c r="A53" s="9" t="s">
        <v>41</v>
      </c>
      <c r="B53" s="94">
        <f>'Presença nas Políticas'!C53</f>
        <v>0</v>
      </c>
      <c r="C53" s="94">
        <f>'Profundidade de Políticas'!C53</f>
        <v>0</v>
      </c>
      <c r="D53" s="15">
        <f>'Bases de dados'!J88</f>
        <v>0.88</v>
      </c>
      <c r="E53" s="15">
        <f>'Relevância processo decisório'!F9</f>
        <v>60</v>
      </c>
      <c r="F53" s="15">
        <f>'Monitoramento de riscos'!E17</f>
        <v>14</v>
      </c>
      <c r="G53" s="81">
        <f>'Ações de mitigação de riscos'!H23</f>
        <v>0</v>
      </c>
      <c r="H53" s="15">
        <f>'Produtos financeiros'!K53</f>
        <v>0</v>
      </c>
      <c r="I53" s="15">
        <f>'Portfólio (setor)'!F13</f>
        <v>78.571428571428569</v>
      </c>
      <c r="J53" s="15">
        <f>'Portfólio (localização)'!F13</f>
        <v>0</v>
      </c>
      <c r="K53" s="15">
        <f>'Portfólio (empresa)'!G22</f>
        <v>0</v>
      </c>
      <c r="L53" s="15">
        <f>Governança!$G$25</f>
        <v>25.55</v>
      </c>
      <c r="M53" s="15">
        <f>Controvérsias!G22</f>
        <v>0</v>
      </c>
      <c r="N53" s="2">
        <f>SUMPRODUCT($B$2:$M$2,B53:M53)</f>
        <v>14.988142857142858</v>
      </c>
      <c r="O53" s="16">
        <v>0.02</v>
      </c>
      <c r="P53" s="2">
        <f t="shared" si="0"/>
        <v>0.29976285714285716</v>
      </c>
    </row>
    <row r="54" spans="1:18">
      <c r="A54" s="9"/>
      <c r="B54" s="94"/>
      <c r="C54" s="94"/>
      <c r="D54" s="15"/>
      <c r="E54" s="15"/>
      <c r="F54" s="15"/>
      <c r="G54" s="15"/>
      <c r="H54" s="15"/>
      <c r="I54" s="15"/>
      <c r="J54" s="15"/>
      <c r="K54" s="15"/>
      <c r="L54" s="15"/>
      <c r="M54" s="15"/>
      <c r="N54" s="2"/>
      <c r="O54" s="16"/>
      <c r="P54" s="2"/>
    </row>
    <row r="55" spans="1:18">
      <c r="A55" s="9" t="s">
        <v>42</v>
      </c>
      <c r="B55" s="90">
        <f>'Presença nas Políticas'!C55</f>
        <v>83.333333333333343</v>
      </c>
      <c r="C55" s="20">
        <f>'Profundidade de Políticas'!C55</f>
        <v>0</v>
      </c>
      <c r="D55" s="20">
        <f>'Bases de dados'!J88</f>
        <v>0.88</v>
      </c>
      <c r="E55" s="20">
        <f>'Relevância processo decisório'!F9</f>
        <v>60</v>
      </c>
      <c r="F55" s="20">
        <f>'Monitoramento de riscos'!E17</f>
        <v>14</v>
      </c>
      <c r="G55" s="80">
        <f>'Ações de mitigação de riscos'!H23</f>
        <v>0</v>
      </c>
      <c r="H55" s="20">
        <f>'Produtos financeiros'!K55</f>
        <v>0</v>
      </c>
      <c r="I55" s="20">
        <f>'Portfólio (setor)'!F13</f>
        <v>78.571428571428569</v>
      </c>
      <c r="J55" s="20">
        <f>'Portfólio (localização)'!F13</f>
        <v>0</v>
      </c>
      <c r="K55" s="20">
        <f>'Portfólio (empresa)'!G22</f>
        <v>0</v>
      </c>
      <c r="L55" s="20">
        <f>Governança!$G$25</f>
        <v>25.55</v>
      </c>
      <c r="M55" s="20">
        <f>Controvérsias!G22</f>
        <v>0</v>
      </c>
      <c r="N55" s="2">
        <f>SUMPRODUCT($B$2:$M$2,B55:M55)</f>
        <v>17.488142857142858</v>
      </c>
      <c r="O55" s="16">
        <v>0.02</v>
      </c>
      <c r="P55" s="2">
        <f t="shared" si="0"/>
        <v>0.34976285714285715</v>
      </c>
    </row>
    <row r="56" spans="1:18">
      <c r="A56" s="9"/>
      <c r="B56" s="90"/>
      <c r="C56" s="20"/>
      <c r="D56" s="20"/>
      <c r="E56" s="20"/>
      <c r="F56" s="20"/>
      <c r="G56" s="20"/>
      <c r="H56" s="20"/>
      <c r="I56" s="20"/>
      <c r="J56" s="20"/>
      <c r="K56" s="20"/>
      <c r="L56" s="20"/>
      <c r="M56" s="20"/>
      <c r="N56" s="2"/>
      <c r="O56" s="16"/>
      <c r="P56" s="2"/>
    </row>
    <row r="57" spans="1:18" ht="18.5">
      <c r="A57" s="9" t="s">
        <v>43</v>
      </c>
      <c r="B57" s="94">
        <f>'Presença nas Políticas'!C57</f>
        <v>0</v>
      </c>
      <c r="C57" s="94">
        <f>'Profundidade de Políticas'!C57</f>
        <v>0</v>
      </c>
      <c r="D57" s="15">
        <f>'Bases de dados'!J88</f>
        <v>0.88</v>
      </c>
      <c r="E57" s="15">
        <f>'Relevância processo decisório'!F9</f>
        <v>60</v>
      </c>
      <c r="F57" s="15">
        <f>'Monitoramento de riscos'!E17</f>
        <v>14</v>
      </c>
      <c r="G57" s="81">
        <f>'Ações de mitigação de riscos'!H23</f>
        <v>0</v>
      </c>
      <c r="H57" s="15">
        <f>'Produtos financeiros'!K57</f>
        <v>0</v>
      </c>
      <c r="I57" s="15">
        <f>'Portfólio (setor)'!F13</f>
        <v>78.571428571428569</v>
      </c>
      <c r="J57" s="15">
        <f>'Portfólio (localização)'!F13</f>
        <v>0</v>
      </c>
      <c r="K57" s="15">
        <f>'Portfólio (empresa)'!G22</f>
        <v>0</v>
      </c>
      <c r="L57" s="15">
        <f>Governança!$G$25</f>
        <v>25.55</v>
      </c>
      <c r="M57" s="15">
        <f>Controvérsias!G22</f>
        <v>0</v>
      </c>
      <c r="N57" s="2">
        <f>SUMPRODUCT($B$2:$M$2,B57:M57)</f>
        <v>14.988142857142858</v>
      </c>
      <c r="O57" s="16">
        <v>0.02</v>
      </c>
      <c r="P57" s="2">
        <f t="shared" si="0"/>
        <v>0.29976285714285716</v>
      </c>
      <c r="Q57" s="19"/>
      <c r="R57" s="19"/>
    </row>
    <row r="58" spans="1:18" ht="18.5">
      <c r="A58" s="9"/>
      <c r="B58" s="94"/>
      <c r="C58" s="94"/>
      <c r="D58" s="15"/>
      <c r="E58" s="15"/>
      <c r="F58" s="15"/>
      <c r="G58" s="15"/>
      <c r="H58" s="15"/>
      <c r="I58" s="15"/>
      <c r="J58" s="15"/>
      <c r="K58" s="15"/>
      <c r="L58" s="15"/>
      <c r="M58" s="15"/>
      <c r="N58" s="2"/>
      <c r="O58" s="16"/>
      <c r="P58" s="2"/>
      <c r="Q58" s="19"/>
      <c r="R58" s="19"/>
    </row>
    <row r="59" spans="1:18" ht="19" customHeight="1">
      <c r="A59" s="9" t="s">
        <v>44</v>
      </c>
      <c r="B59" s="90">
        <f>'Presença nas Políticas'!C59</f>
        <v>0</v>
      </c>
      <c r="C59" s="20">
        <f>'Profundidade de Políticas'!C59</f>
        <v>0</v>
      </c>
      <c r="D59" s="20">
        <f>'Bases de dados'!J88</f>
        <v>0.88</v>
      </c>
      <c r="E59" s="20">
        <f>'Relevância processo decisório'!F9</f>
        <v>60</v>
      </c>
      <c r="F59" s="20">
        <f>'Monitoramento de riscos'!E17</f>
        <v>14</v>
      </c>
      <c r="G59" s="80">
        <f>'Ações de mitigação de riscos'!H23</f>
        <v>0</v>
      </c>
      <c r="H59" s="20">
        <f>'Produtos financeiros'!K59</f>
        <v>0</v>
      </c>
      <c r="I59" s="20">
        <f>'Portfólio (setor)'!F13</f>
        <v>78.571428571428569</v>
      </c>
      <c r="J59" s="20">
        <f>'Portfólio (localização)'!F13</f>
        <v>0</v>
      </c>
      <c r="K59" s="20">
        <f>'Portfólio (empresa)'!G22</f>
        <v>0</v>
      </c>
      <c r="L59" s="20">
        <f>Governança!$G$25</f>
        <v>25.55</v>
      </c>
      <c r="M59" s="20">
        <f>Controvérsias!G22</f>
        <v>0</v>
      </c>
      <c r="N59" s="2">
        <f>SUMPRODUCT($B$2:$M$2,B59:M59)</f>
        <v>14.988142857142858</v>
      </c>
      <c r="O59" s="16">
        <v>0.02</v>
      </c>
      <c r="P59" s="2">
        <f t="shared" si="0"/>
        <v>0.29976285714285716</v>
      </c>
      <c r="Q59" s="10"/>
      <c r="R59" s="10"/>
    </row>
    <row r="60" spans="1:18" ht="19" customHeight="1">
      <c r="A60" s="9"/>
      <c r="B60" s="90"/>
      <c r="C60" s="20"/>
      <c r="D60" s="20"/>
      <c r="E60" s="20"/>
      <c r="F60" s="20"/>
      <c r="G60" s="20"/>
      <c r="H60" s="20"/>
      <c r="I60" s="20"/>
      <c r="J60" s="20"/>
      <c r="K60" s="20"/>
      <c r="L60" s="20"/>
      <c r="M60" s="20"/>
      <c r="N60" s="2"/>
      <c r="O60" s="16"/>
      <c r="P60" s="2"/>
      <c r="Q60" s="10"/>
      <c r="R60" s="10"/>
    </row>
    <row r="61" spans="1:18" ht="19" customHeight="1">
      <c r="A61" s="9" t="s">
        <v>45</v>
      </c>
      <c r="B61" s="94">
        <f>'Presença nas Políticas'!C61</f>
        <v>33.333333333333329</v>
      </c>
      <c r="C61" s="94">
        <f>'Profundidade de Políticas'!C61</f>
        <v>0</v>
      </c>
      <c r="D61" s="15">
        <f>'Bases de dados'!J88</f>
        <v>0.88</v>
      </c>
      <c r="E61" s="15">
        <f>'Relevância processo decisório'!F9</f>
        <v>60</v>
      </c>
      <c r="F61" s="15">
        <f>'Monitoramento de riscos'!E17</f>
        <v>14</v>
      </c>
      <c r="G61" s="81">
        <f>'Ações de mitigação de riscos'!H23</f>
        <v>0</v>
      </c>
      <c r="H61" s="15">
        <f>'Produtos financeiros'!K61</f>
        <v>0</v>
      </c>
      <c r="I61" s="15">
        <f>'Portfólio (setor)'!F13</f>
        <v>78.571428571428569</v>
      </c>
      <c r="J61" s="15">
        <f>'Portfólio (localização)'!F13</f>
        <v>0</v>
      </c>
      <c r="K61" s="15">
        <f>'Portfólio (empresa)'!G22</f>
        <v>0</v>
      </c>
      <c r="L61" s="15">
        <f>Governança!$G$25</f>
        <v>25.55</v>
      </c>
      <c r="M61" s="15">
        <f>Controvérsias!G22</f>
        <v>0</v>
      </c>
      <c r="N61" s="2">
        <f>SUMPRODUCT($B$2:$M$2,B61:M61)</f>
        <v>15.988142857142858</v>
      </c>
      <c r="O61" s="21">
        <v>0.03</v>
      </c>
      <c r="P61" s="2">
        <f>SUMPRODUCT(N61,O61)</f>
        <v>0.47964428571428575</v>
      </c>
      <c r="Q61" s="10"/>
      <c r="R61" s="10"/>
    </row>
    <row r="62" spans="1:18" ht="17.149999999999999" customHeight="1" thickBot="1">
      <c r="A62" s="9"/>
      <c r="B62" s="94"/>
      <c r="C62" s="94"/>
      <c r="D62" s="15"/>
      <c r="E62" s="15"/>
      <c r="F62" s="15"/>
      <c r="G62" s="15"/>
      <c r="H62" s="15"/>
      <c r="I62" s="15"/>
      <c r="J62" s="15"/>
      <c r="K62" s="15"/>
      <c r="L62" s="22"/>
      <c r="M62" s="22"/>
      <c r="N62" s="2"/>
      <c r="O62" s="21"/>
      <c r="P62" s="2"/>
      <c r="Q62" s="10"/>
      <c r="R62" s="10"/>
    </row>
    <row r="63" spans="1:18" ht="17.149999999999999" customHeight="1" thickTop="1">
      <c r="A63" s="1" t="s">
        <v>13</v>
      </c>
      <c r="B63" s="91">
        <f>SUM(B3:B62)/30</f>
        <v>31.111111111333337</v>
      </c>
      <c r="C63" s="13">
        <f t="shared" ref="C63:M63" si="1">SUM(C3:C62)/30</f>
        <v>13.809523809523807</v>
      </c>
      <c r="D63" s="13">
        <f t="shared" si="1"/>
        <v>0.87999999999999978</v>
      </c>
      <c r="E63" s="13">
        <f t="shared" si="1"/>
        <v>60</v>
      </c>
      <c r="F63" s="13">
        <f t="shared" si="1"/>
        <v>14</v>
      </c>
      <c r="G63" s="13">
        <f t="shared" si="1"/>
        <v>0</v>
      </c>
      <c r="H63" s="13">
        <f t="shared" si="1"/>
        <v>0.33333333333333331</v>
      </c>
      <c r="I63" s="13">
        <f t="shared" si="1"/>
        <v>78.571428571428598</v>
      </c>
      <c r="J63" s="13">
        <f t="shared" si="1"/>
        <v>0</v>
      </c>
      <c r="K63" s="13">
        <f t="shared" si="1"/>
        <v>0</v>
      </c>
      <c r="L63" s="13">
        <f>SUM(L3:L62)/30</f>
        <v>25.549999999999994</v>
      </c>
      <c r="M63" s="13">
        <f t="shared" si="1"/>
        <v>0</v>
      </c>
      <c r="O63" s="17">
        <f>SUM(O3:O62)</f>
        <v>1.0000000000000004</v>
      </c>
      <c r="P63" s="219">
        <f>SUM(P3:P62)</f>
        <v>17.078142857152862</v>
      </c>
      <c r="Q63" s="18"/>
      <c r="R63" s="10"/>
    </row>
    <row r="64" spans="1:18">
      <c r="P64" s="220"/>
    </row>
  </sheetData>
  <mergeCells count="1">
    <mergeCell ref="P63:P6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I39"/>
  <sheetViews>
    <sheetView workbookViewId="0">
      <selection activeCell="C15" sqref="C15"/>
    </sheetView>
  </sheetViews>
  <sheetFormatPr defaultColWidth="10.83203125" defaultRowHeight="15.5"/>
  <cols>
    <col min="1" max="1" width="32.33203125" style="1" customWidth="1"/>
    <col min="2" max="2" width="53.5" style="1" customWidth="1"/>
    <col min="3" max="3" width="29.83203125" style="1" customWidth="1"/>
    <col min="4" max="4" width="30.83203125" style="1" customWidth="1"/>
    <col min="5" max="5" width="15" style="1" customWidth="1"/>
    <col min="6" max="6" width="12.58203125" style="1" customWidth="1"/>
    <col min="7" max="16384" width="10.83203125" style="1"/>
  </cols>
  <sheetData>
    <row r="1" spans="1:9">
      <c r="A1" s="3"/>
      <c r="B1" s="221" t="s">
        <v>201</v>
      </c>
      <c r="C1" s="221"/>
      <c r="D1" s="221"/>
    </row>
    <row r="2" spans="1:9">
      <c r="A2" s="226" t="s">
        <v>239</v>
      </c>
      <c r="B2" s="231" t="s">
        <v>240</v>
      </c>
      <c r="C2" s="231" t="s">
        <v>241</v>
      </c>
      <c r="D2" s="231" t="s">
        <v>242</v>
      </c>
      <c r="E2" s="243" t="s">
        <v>243</v>
      </c>
      <c r="F2" s="238" t="s">
        <v>13</v>
      </c>
    </row>
    <row r="3" spans="1:9">
      <c r="A3" s="226"/>
      <c r="B3" s="231"/>
      <c r="C3" s="231"/>
      <c r="D3" s="239"/>
      <c r="E3" s="243"/>
      <c r="F3" s="238"/>
      <c r="G3" s="70"/>
      <c r="H3" s="70"/>
      <c r="I3" s="70"/>
    </row>
    <row r="4" spans="1:9">
      <c r="A4" s="226"/>
      <c r="B4" s="231"/>
      <c r="C4" s="231"/>
      <c r="D4" s="239"/>
      <c r="E4" s="243"/>
      <c r="F4" s="238"/>
    </row>
    <row r="5" spans="1:9" ht="49" customHeight="1">
      <c r="A5" s="226"/>
      <c r="B5" s="231"/>
      <c r="C5" s="231"/>
      <c r="D5" s="239"/>
      <c r="E5" s="243"/>
      <c r="F5" s="238"/>
    </row>
    <row r="6" spans="1:9" ht="17.149999999999999" customHeight="1">
      <c r="A6" s="11"/>
      <c r="B6" s="155"/>
      <c r="C6" s="155"/>
      <c r="D6" s="155"/>
      <c r="E6" s="243"/>
      <c r="F6" s="2"/>
    </row>
    <row r="7" spans="1:9">
      <c r="A7" s="71" t="s">
        <v>244</v>
      </c>
      <c r="B7" s="72">
        <v>0</v>
      </c>
      <c r="C7" s="72">
        <v>0</v>
      </c>
      <c r="D7" s="72">
        <v>0</v>
      </c>
      <c r="E7" s="82">
        <v>0.45</v>
      </c>
      <c r="F7" s="2">
        <f>SUM(B7:D7)*E7</f>
        <v>0</v>
      </c>
    </row>
    <row r="8" spans="1:9">
      <c r="A8" s="71"/>
      <c r="B8" s="129"/>
      <c r="C8" s="72"/>
      <c r="D8" s="72"/>
      <c r="E8" s="83"/>
      <c r="F8" s="2"/>
    </row>
    <row r="9" spans="1:9">
      <c r="A9" s="71" t="s">
        <v>245</v>
      </c>
      <c r="B9" s="72">
        <v>0</v>
      </c>
      <c r="C9" s="72">
        <v>0</v>
      </c>
      <c r="D9" s="72">
        <v>0</v>
      </c>
      <c r="E9" s="82">
        <v>0.3</v>
      </c>
      <c r="F9" s="2">
        <f>SUM(B9:D9)*E9</f>
        <v>0</v>
      </c>
    </row>
    <row r="10" spans="1:9">
      <c r="A10" s="71"/>
      <c r="B10" s="72"/>
      <c r="C10" s="215"/>
      <c r="D10" s="72"/>
      <c r="E10" s="83"/>
      <c r="F10" s="2"/>
    </row>
    <row r="11" spans="1:9">
      <c r="A11" s="73" t="s">
        <v>246</v>
      </c>
      <c r="B11" s="72">
        <v>0</v>
      </c>
      <c r="C11" s="72">
        <v>0</v>
      </c>
      <c r="D11" s="72">
        <v>0</v>
      </c>
      <c r="E11" s="82">
        <v>0.25</v>
      </c>
      <c r="F11" s="2">
        <f>SUM(B11:D11)*E11</f>
        <v>0</v>
      </c>
    </row>
    <row r="12" spans="1:9">
      <c r="A12" s="71"/>
      <c r="B12" s="72"/>
      <c r="C12" s="72"/>
      <c r="D12" s="72"/>
      <c r="E12" s="83"/>
      <c r="F12" s="2"/>
    </row>
    <row r="13" spans="1:9" ht="32.15" customHeight="1">
      <c r="A13" s="109" t="s">
        <v>13</v>
      </c>
      <c r="B13" s="110"/>
      <c r="C13" s="110"/>
      <c r="D13" s="110"/>
      <c r="E13" s="26"/>
      <c r="F13" s="40">
        <f>(F7+F9+F11)*10</f>
        <v>0</v>
      </c>
    </row>
    <row r="14" spans="1:9">
      <c r="B14" s="240" t="s">
        <v>247</v>
      </c>
      <c r="C14" s="241"/>
      <c r="D14" s="242"/>
    </row>
    <row r="15" spans="1:9">
      <c r="B15" s="154"/>
    </row>
    <row r="16" spans="1:9" hidden="1"/>
    <row r="17" spans="2:6">
      <c r="B17" s="127"/>
      <c r="E17" s="27"/>
      <c r="F17" s="52"/>
    </row>
    <row r="20" spans="2:6">
      <c r="D20" s="153"/>
    </row>
    <row r="21" spans="2:6">
      <c r="B21" s="152"/>
      <c r="D21" s="153"/>
    </row>
    <row r="22" spans="2:6">
      <c r="D22" s="153"/>
    </row>
    <row r="23" spans="2:6">
      <c r="D23" s="153"/>
    </row>
    <row r="24" spans="2:6">
      <c r="D24" s="153"/>
    </row>
    <row r="25" spans="2:6">
      <c r="D25" s="153"/>
    </row>
    <row r="26" spans="2:6">
      <c r="D26" s="153"/>
    </row>
    <row r="27" spans="2:6">
      <c r="D27" s="153"/>
    </row>
    <row r="28" spans="2:6">
      <c r="D28" s="153"/>
    </row>
    <row r="29" spans="2:6">
      <c r="D29" s="153"/>
    </row>
    <row r="30" spans="2:6">
      <c r="D30" s="153"/>
    </row>
    <row r="31" spans="2:6">
      <c r="D31" s="153"/>
    </row>
    <row r="32" spans="2:6">
      <c r="D32" s="153"/>
    </row>
    <row r="33" spans="4:4">
      <c r="D33" s="153"/>
    </row>
    <row r="34" spans="4:4">
      <c r="D34" s="153"/>
    </row>
    <row r="35" spans="4:4">
      <c r="D35" s="153"/>
    </row>
    <row r="36" spans="4:4">
      <c r="D36" s="153"/>
    </row>
    <row r="37" spans="4:4">
      <c r="D37" s="153"/>
    </row>
    <row r="38" spans="4:4">
      <c r="D38" s="153"/>
    </row>
    <row r="39" spans="4:4">
      <c r="D39" s="153"/>
    </row>
  </sheetData>
  <mergeCells count="8">
    <mergeCell ref="E2:E6"/>
    <mergeCell ref="F2:F5"/>
    <mergeCell ref="B1:D1"/>
    <mergeCell ref="A2:A5"/>
    <mergeCell ref="B2:B5"/>
    <mergeCell ref="C2:C5"/>
    <mergeCell ref="B14:D14"/>
    <mergeCell ref="D2: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J46"/>
  <sheetViews>
    <sheetView zoomScale="80" zoomScaleNormal="80" workbookViewId="0">
      <selection activeCell="B25" sqref="B25"/>
    </sheetView>
  </sheetViews>
  <sheetFormatPr defaultColWidth="10.83203125" defaultRowHeight="15.5"/>
  <cols>
    <col min="1" max="1" width="30.83203125" style="1" customWidth="1"/>
    <col min="2" max="2" width="31.33203125" style="1" customWidth="1"/>
    <col min="3" max="3" width="29.83203125" style="1" customWidth="1"/>
    <col min="4" max="5" width="29.58203125" style="1" customWidth="1"/>
    <col min="6" max="6" width="15" style="1" customWidth="1"/>
    <col min="7" max="7" width="17.08203125" style="1" customWidth="1"/>
    <col min="8" max="8" width="16.5" style="1" customWidth="1"/>
    <col min="9" max="16384" width="10.83203125" style="1"/>
  </cols>
  <sheetData>
    <row r="1" spans="1:10">
      <c r="A1" s="3"/>
      <c r="B1" s="221" t="s">
        <v>248</v>
      </c>
      <c r="C1" s="221"/>
      <c r="D1" s="221"/>
      <c r="E1" s="221"/>
    </row>
    <row r="2" spans="1:10">
      <c r="A2" s="226" t="s">
        <v>239</v>
      </c>
      <c r="B2" s="231" t="s">
        <v>203</v>
      </c>
      <c r="C2" s="231" t="s">
        <v>204</v>
      </c>
      <c r="D2" s="231" t="s">
        <v>249</v>
      </c>
      <c r="E2" s="231" t="s">
        <v>206</v>
      </c>
      <c r="F2" s="246" t="s">
        <v>250</v>
      </c>
      <c r="G2" s="238" t="s">
        <v>13</v>
      </c>
    </row>
    <row r="3" spans="1:10">
      <c r="A3" s="226"/>
      <c r="B3" s="231"/>
      <c r="C3" s="231"/>
      <c r="D3" s="239"/>
      <c r="E3" s="231"/>
      <c r="F3" s="246"/>
      <c r="G3" s="238"/>
      <c r="H3" s="70"/>
      <c r="I3" s="70"/>
      <c r="J3" s="70"/>
    </row>
    <row r="4" spans="1:10">
      <c r="A4" s="226"/>
      <c r="B4" s="231"/>
      <c r="C4" s="231"/>
      <c r="D4" s="239"/>
      <c r="E4" s="231"/>
      <c r="F4" s="246"/>
      <c r="G4" s="238"/>
    </row>
    <row r="5" spans="1:10" ht="49" customHeight="1">
      <c r="A5" s="226"/>
      <c r="B5" s="231"/>
      <c r="C5" s="231"/>
      <c r="D5" s="239"/>
      <c r="E5" s="231"/>
      <c r="F5" s="246"/>
      <c r="G5" s="238"/>
    </row>
    <row r="6" spans="1:10" ht="17.149999999999999" customHeight="1">
      <c r="A6" s="11"/>
      <c r="B6" s="31"/>
      <c r="C6" s="31"/>
      <c r="D6" s="29"/>
      <c r="E6" s="29"/>
      <c r="F6" s="246"/>
    </row>
    <row r="7" spans="1:10">
      <c r="A7" s="71" t="s">
        <v>251</v>
      </c>
      <c r="B7" s="72">
        <v>0</v>
      </c>
      <c r="C7" s="72">
        <v>0</v>
      </c>
      <c r="D7" s="72">
        <v>0</v>
      </c>
      <c r="E7" s="72">
        <v>0</v>
      </c>
      <c r="F7" s="84">
        <v>0.2</v>
      </c>
      <c r="G7" s="1">
        <f>SUM(B7:E7)*F7</f>
        <v>0</v>
      </c>
    </row>
    <row r="8" spans="1:10">
      <c r="A8" s="71"/>
      <c r="B8" s="72"/>
      <c r="C8" s="72"/>
      <c r="D8" s="72"/>
      <c r="E8" s="72"/>
      <c r="F8" s="85"/>
    </row>
    <row r="9" spans="1:10">
      <c r="A9" s="71" t="s">
        <v>252</v>
      </c>
      <c r="B9" s="72">
        <v>0</v>
      </c>
      <c r="C9" s="72">
        <v>0</v>
      </c>
      <c r="D9" s="72">
        <v>0</v>
      </c>
      <c r="E9" s="72">
        <v>0</v>
      </c>
      <c r="F9" s="84">
        <v>0.1</v>
      </c>
      <c r="G9" s="1">
        <f t="shared" ref="G9:G21" si="0">SUM(B9:E9)*F9</f>
        <v>0</v>
      </c>
    </row>
    <row r="10" spans="1:10">
      <c r="A10" s="71"/>
      <c r="B10" s="72"/>
      <c r="C10" s="72"/>
      <c r="D10" s="72"/>
      <c r="E10" s="72"/>
      <c r="F10" s="85"/>
    </row>
    <row r="11" spans="1:10">
      <c r="A11" s="73" t="s">
        <v>253</v>
      </c>
      <c r="B11" s="72">
        <v>0</v>
      </c>
      <c r="C11" s="72">
        <v>0</v>
      </c>
      <c r="D11" s="72">
        <v>0</v>
      </c>
      <c r="E11" s="72">
        <v>0</v>
      </c>
      <c r="F11" s="84">
        <v>0.05</v>
      </c>
      <c r="G11" s="1">
        <f t="shared" si="0"/>
        <v>0</v>
      </c>
    </row>
    <row r="12" spans="1:10">
      <c r="A12" s="71"/>
      <c r="B12" s="72"/>
      <c r="C12" s="72"/>
      <c r="D12" s="72"/>
      <c r="E12" s="72"/>
      <c r="F12" s="85"/>
    </row>
    <row r="13" spans="1:10" ht="46.5">
      <c r="A13" s="73" t="s">
        <v>254</v>
      </c>
      <c r="B13" s="72">
        <v>0</v>
      </c>
      <c r="C13" s="72">
        <v>0</v>
      </c>
      <c r="D13" s="72">
        <v>0</v>
      </c>
      <c r="E13" s="72">
        <v>0</v>
      </c>
      <c r="F13" s="84">
        <v>0.25</v>
      </c>
      <c r="G13" s="1">
        <f t="shared" si="0"/>
        <v>0</v>
      </c>
    </row>
    <row r="14" spans="1:10">
      <c r="A14" s="71"/>
      <c r="B14" s="72"/>
      <c r="C14" s="72"/>
      <c r="D14" s="72"/>
      <c r="E14" s="72"/>
      <c r="F14" s="85"/>
    </row>
    <row r="15" spans="1:10">
      <c r="A15" s="71" t="s">
        <v>255</v>
      </c>
      <c r="B15" s="72">
        <v>0</v>
      </c>
      <c r="C15" s="72">
        <v>0</v>
      </c>
      <c r="D15" s="72">
        <v>0</v>
      </c>
      <c r="E15" s="72">
        <v>0</v>
      </c>
      <c r="F15" s="84">
        <v>0.1</v>
      </c>
      <c r="G15" s="1">
        <f t="shared" si="0"/>
        <v>0</v>
      </c>
    </row>
    <row r="16" spans="1:10">
      <c r="A16" s="71"/>
      <c r="B16" s="72"/>
      <c r="C16" s="72"/>
      <c r="D16" s="72"/>
      <c r="E16" s="72"/>
      <c r="F16" s="85"/>
    </row>
    <row r="17" spans="1:8" ht="31">
      <c r="A17" s="73" t="s">
        <v>256</v>
      </c>
      <c r="B17" s="72">
        <v>0</v>
      </c>
      <c r="C17" s="72">
        <v>0</v>
      </c>
      <c r="D17" s="72">
        <v>0</v>
      </c>
      <c r="E17" s="72">
        <v>0</v>
      </c>
      <c r="F17" s="84">
        <v>0.05</v>
      </c>
      <c r="G17" s="1">
        <f t="shared" si="0"/>
        <v>0</v>
      </c>
    </row>
    <row r="18" spans="1:8">
      <c r="A18" s="71"/>
      <c r="B18" s="72"/>
      <c r="C18" s="72"/>
      <c r="D18" s="72"/>
      <c r="E18" s="72"/>
      <c r="F18" s="85"/>
    </row>
    <row r="19" spans="1:8" ht="46.5">
      <c r="A19" s="73" t="s">
        <v>257</v>
      </c>
      <c r="B19" s="72">
        <v>0</v>
      </c>
      <c r="C19" s="72">
        <v>0</v>
      </c>
      <c r="D19" s="72">
        <v>0</v>
      </c>
      <c r="E19" s="72">
        <v>0</v>
      </c>
      <c r="F19" s="84">
        <v>0.1</v>
      </c>
      <c r="G19" s="1">
        <f t="shared" si="0"/>
        <v>0</v>
      </c>
    </row>
    <row r="20" spans="1:8">
      <c r="A20" s="71"/>
      <c r="B20" s="72"/>
      <c r="C20" s="72"/>
      <c r="D20" s="72"/>
      <c r="E20" s="72"/>
      <c r="F20" s="85"/>
    </row>
    <row r="21" spans="1:8" ht="46.5">
      <c r="A21" s="73" t="s">
        <v>258</v>
      </c>
      <c r="B21" s="72">
        <v>0</v>
      </c>
      <c r="C21" s="72">
        <v>0</v>
      </c>
      <c r="D21" s="72">
        <v>0</v>
      </c>
      <c r="E21" s="72">
        <v>0</v>
      </c>
      <c r="F21" s="84">
        <v>0.15</v>
      </c>
      <c r="G21" s="1">
        <f t="shared" si="0"/>
        <v>0</v>
      </c>
    </row>
    <row r="22" spans="1:8" ht="30" customHeight="1">
      <c r="A22" s="68"/>
      <c r="B22" s="68"/>
      <c r="C22" s="68"/>
      <c r="D22" s="68"/>
      <c r="E22" s="68"/>
      <c r="F22" s="68"/>
      <c r="G22" s="40">
        <f>SUM(G7:G21)/4.8*100</f>
        <v>0</v>
      </c>
      <c r="H22" s="40" t="s">
        <v>259</v>
      </c>
    </row>
    <row r="23" spans="1:8">
      <c r="B23" s="244" t="s">
        <v>260</v>
      </c>
      <c r="C23" s="245"/>
      <c r="D23" s="245"/>
      <c r="E23" s="245"/>
    </row>
    <row r="24" spans="1:8">
      <c r="A24" s="70"/>
    </row>
    <row r="25" spans="1:8">
      <c r="C25" s="69" t="s">
        <v>140</v>
      </c>
    </row>
    <row r="27" spans="1:8">
      <c r="D27" s="153"/>
      <c r="E27" s="168"/>
    </row>
    <row r="28" spans="1:8">
      <c r="D28" s="153"/>
      <c r="E28" s="168"/>
    </row>
    <row r="29" spans="1:8">
      <c r="D29" s="153"/>
      <c r="E29" s="153"/>
    </row>
    <row r="30" spans="1:8">
      <c r="D30" s="153"/>
      <c r="E30" s="153"/>
    </row>
    <row r="31" spans="1:8">
      <c r="D31" s="153"/>
      <c r="E31" s="168"/>
    </row>
    <row r="32" spans="1:8">
      <c r="D32" s="153"/>
      <c r="E32" s="153"/>
    </row>
    <row r="33" spans="4:5">
      <c r="D33" s="153"/>
      <c r="E33" s="153"/>
    </row>
    <row r="34" spans="4:5">
      <c r="D34" s="153"/>
      <c r="E34" s="168"/>
    </row>
    <row r="35" spans="4:5">
      <c r="D35" s="153"/>
      <c r="E35" s="153"/>
    </row>
    <row r="36" spans="4:5">
      <c r="D36" s="153"/>
      <c r="E36" s="169"/>
    </row>
    <row r="37" spans="4:5">
      <c r="D37" s="153"/>
      <c r="E37" s="169"/>
    </row>
    <row r="38" spans="4:5">
      <c r="D38" s="153"/>
      <c r="E38" s="169"/>
    </row>
    <row r="39" spans="4:5">
      <c r="D39" s="153"/>
      <c r="E39" s="153"/>
    </row>
    <row r="40" spans="4:5">
      <c r="D40" s="153"/>
      <c r="E40" s="169"/>
    </row>
    <row r="41" spans="4:5">
      <c r="D41" s="153"/>
      <c r="E41" s="153"/>
    </row>
    <row r="42" spans="4:5">
      <c r="D42" s="153"/>
      <c r="E42" s="153"/>
    </row>
    <row r="43" spans="4:5">
      <c r="D43" s="153"/>
      <c r="E43" s="153"/>
    </row>
    <row r="44" spans="4:5">
      <c r="D44" s="153"/>
      <c r="E44" s="153"/>
    </row>
    <row r="45" spans="4:5">
      <c r="D45" s="153"/>
      <c r="E45" s="168"/>
    </row>
    <row r="46" spans="4:5">
      <c r="D46" s="153"/>
      <c r="E46" s="153"/>
    </row>
  </sheetData>
  <mergeCells count="9">
    <mergeCell ref="B23:E23"/>
    <mergeCell ref="F2:F6"/>
    <mergeCell ref="G2:G5"/>
    <mergeCell ref="B1:E1"/>
    <mergeCell ref="A2:A5"/>
    <mergeCell ref="B2:B5"/>
    <mergeCell ref="C2:C5"/>
    <mergeCell ref="D2:D5"/>
    <mergeCell ref="E2:E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tabSelected="1" topLeftCell="A12" zoomScale="80" zoomScaleNormal="80" workbookViewId="0">
      <pane xSplit="1" topLeftCell="B1" activePane="topRight" state="frozen"/>
      <selection pane="topRight" activeCell="D24" sqref="D24"/>
    </sheetView>
  </sheetViews>
  <sheetFormatPr defaultColWidth="10.83203125" defaultRowHeight="15.5"/>
  <cols>
    <col min="1" max="1" width="84.08203125" style="27" customWidth="1"/>
    <col min="2" max="2" width="37.25" style="27" customWidth="1"/>
    <col min="3" max="3" width="21.83203125" style="27" customWidth="1"/>
    <col min="4" max="4" width="41.58203125" style="27" bestFit="1" customWidth="1"/>
    <col min="5" max="5" width="21.83203125" style="27" customWidth="1"/>
    <col min="6" max="6" width="15.33203125" style="27" customWidth="1"/>
    <col min="7" max="7" width="15.5" style="27" customWidth="1"/>
    <col min="8" max="8" width="21.83203125" style="27" customWidth="1"/>
    <col min="9" max="16384" width="10.83203125" style="27"/>
  </cols>
  <sheetData>
    <row r="1" spans="1:7">
      <c r="A1" s="25"/>
      <c r="B1" s="221" t="s">
        <v>261</v>
      </c>
      <c r="C1" s="221"/>
      <c r="D1" s="221"/>
      <c r="E1" s="25"/>
      <c r="F1" s="25"/>
      <c r="G1" s="25"/>
    </row>
    <row r="2" spans="1:7">
      <c r="A2" s="221" t="s">
        <v>262</v>
      </c>
      <c r="B2" s="222" t="s">
        <v>263</v>
      </c>
      <c r="C2" s="222" t="s">
        <v>264</v>
      </c>
      <c r="D2" s="222" t="s">
        <v>265</v>
      </c>
      <c r="E2" s="221" t="s">
        <v>13</v>
      </c>
      <c r="F2" s="226" t="s">
        <v>14</v>
      </c>
      <c r="G2" s="226" t="s">
        <v>15</v>
      </c>
    </row>
    <row r="3" spans="1:7">
      <c r="A3" s="221"/>
      <c r="B3" s="223"/>
      <c r="C3" s="223"/>
      <c r="D3" s="223"/>
      <c r="E3" s="221"/>
      <c r="F3" s="226"/>
      <c r="G3" s="226"/>
    </row>
    <row r="4" spans="1:7">
      <c r="A4" s="221"/>
      <c r="B4" s="223"/>
      <c r="C4" s="223"/>
      <c r="D4" s="223"/>
      <c r="E4" s="221"/>
      <c r="F4" s="226"/>
      <c r="G4" s="226"/>
    </row>
    <row r="5" spans="1:7">
      <c r="A5" s="221"/>
      <c r="B5" s="223"/>
      <c r="C5" s="223"/>
      <c r="D5" s="223"/>
      <c r="E5" s="221"/>
      <c r="F5" s="226"/>
      <c r="G5" s="226"/>
    </row>
    <row r="6" spans="1:7">
      <c r="A6" s="36" t="s">
        <v>266</v>
      </c>
      <c r="B6" s="37">
        <v>0</v>
      </c>
      <c r="C6" s="37"/>
      <c r="D6" s="37">
        <v>8</v>
      </c>
      <c r="E6" s="35">
        <f>SUM(B6:D6)</f>
        <v>8</v>
      </c>
      <c r="F6" s="29">
        <v>0.15</v>
      </c>
      <c r="G6" s="35">
        <f>(B6*F6)+(C6*F6)+(D6*F6)</f>
        <v>1.2</v>
      </c>
    </row>
    <row r="7" spans="1:7" ht="139.5">
      <c r="A7" s="103"/>
      <c r="B7" s="37"/>
      <c r="C7" s="37"/>
      <c r="D7" s="208" t="s">
        <v>302</v>
      </c>
      <c r="E7" s="35"/>
      <c r="F7" s="26"/>
      <c r="G7" s="35"/>
    </row>
    <row r="8" spans="1:7">
      <c r="A8" s="36" t="s">
        <v>267</v>
      </c>
      <c r="B8" s="38">
        <v>1</v>
      </c>
      <c r="C8" s="38">
        <v>0</v>
      </c>
      <c r="D8" s="38">
        <v>0</v>
      </c>
      <c r="E8" s="35">
        <f t="shared" ref="E8:E24" si="0">SUM(B8:D8)</f>
        <v>1</v>
      </c>
      <c r="F8" s="30">
        <v>7.4999999999999997E-2</v>
      </c>
      <c r="G8" s="35">
        <f t="shared" ref="G8:G24" si="1">(B8*F8)+(C8*F8)+(D8*F8)</f>
        <v>7.4999999999999997E-2</v>
      </c>
    </row>
    <row r="9" spans="1:7" ht="31">
      <c r="A9" s="104"/>
      <c r="B9" s="209" t="s">
        <v>304</v>
      </c>
      <c r="C9" s="210"/>
      <c r="D9" s="210"/>
      <c r="E9" s="35"/>
      <c r="F9" s="26"/>
      <c r="G9" s="35"/>
    </row>
    <row r="10" spans="1:7">
      <c r="A10" s="36" t="s">
        <v>268</v>
      </c>
      <c r="B10" s="182">
        <v>0</v>
      </c>
      <c r="C10" s="37">
        <v>0</v>
      </c>
      <c r="D10" s="37">
        <v>0</v>
      </c>
      <c r="E10" s="35">
        <f t="shared" si="0"/>
        <v>0</v>
      </c>
      <c r="F10" s="30">
        <v>7.4999999999999997E-2</v>
      </c>
      <c r="G10" s="35">
        <f t="shared" si="1"/>
        <v>0</v>
      </c>
    </row>
    <row r="11" spans="1:7" ht="49.5" customHeight="1">
      <c r="A11" s="104"/>
      <c r="B11" s="211" t="s">
        <v>303</v>
      </c>
      <c r="C11" s="37"/>
      <c r="D11" s="37"/>
      <c r="E11" s="35"/>
      <c r="F11" s="26"/>
      <c r="G11" s="35"/>
    </row>
    <row r="12" spans="1:7" ht="31">
      <c r="A12" s="39" t="s">
        <v>269</v>
      </c>
      <c r="B12" s="38">
        <v>0</v>
      </c>
      <c r="C12" s="38">
        <v>0</v>
      </c>
      <c r="D12" s="38">
        <v>0</v>
      </c>
      <c r="E12" s="35">
        <f t="shared" si="0"/>
        <v>0</v>
      </c>
      <c r="F12" s="31">
        <v>0.15</v>
      </c>
      <c r="G12" s="35">
        <f t="shared" si="1"/>
        <v>0</v>
      </c>
    </row>
    <row r="13" spans="1:7" ht="46.5" customHeight="1">
      <c r="A13" s="103"/>
      <c r="B13" s="184" t="s">
        <v>270</v>
      </c>
      <c r="C13" s="185"/>
      <c r="D13" s="186"/>
      <c r="E13" s="35"/>
      <c r="F13" s="32"/>
      <c r="G13" s="35"/>
    </row>
    <row r="14" spans="1:7" ht="31">
      <c r="A14" s="39" t="s">
        <v>271</v>
      </c>
      <c r="B14" s="206">
        <v>0</v>
      </c>
      <c r="C14" s="206">
        <v>0</v>
      </c>
      <c r="D14" s="206">
        <v>0</v>
      </c>
      <c r="E14" s="35">
        <f t="shared" si="0"/>
        <v>0</v>
      </c>
      <c r="F14" s="31">
        <v>0.1</v>
      </c>
      <c r="G14" s="35">
        <f t="shared" si="1"/>
        <v>0</v>
      </c>
    </row>
    <row r="15" spans="1:7" ht="60" customHeight="1">
      <c r="A15" s="205"/>
      <c r="B15" s="212" t="s">
        <v>270</v>
      </c>
      <c r="C15" s="213"/>
      <c r="D15" s="213"/>
      <c r="E15" s="35"/>
      <c r="F15" s="32"/>
      <c r="G15" s="35"/>
    </row>
    <row r="16" spans="1:7">
      <c r="A16" s="39" t="s">
        <v>272</v>
      </c>
      <c r="B16" s="207">
        <v>1</v>
      </c>
      <c r="C16" s="207">
        <v>0</v>
      </c>
      <c r="D16" s="207">
        <v>0</v>
      </c>
      <c r="E16" s="35">
        <f t="shared" si="0"/>
        <v>1</v>
      </c>
      <c r="F16" s="31">
        <v>0.1</v>
      </c>
      <c r="G16" s="35">
        <f t="shared" si="1"/>
        <v>0.1</v>
      </c>
    </row>
    <row r="17" spans="1:8" ht="124">
      <c r="A17" s="103"/>
      <c r="B17" s="214" t="s">
        <v>273</v>
      </c>
      <c r="C17" s="38"/>
      <c r="D17" s="38"/>
      <c r="E17" s="35"/>
      <c r="F17" s="32"/>
      <c r="G17" s="35"/>
    </row>
    <row r="18" spans="1:8">
      <c r="A18" s="39" t="s">
        <v>274</v>
      </c>
      <c r="B18" s="37">
        <v>0</v>
      </c>
      <c r="C18" s="37">
        <v>0</v>
      </c>
      <c r="D18" s="37">
        <v>7</v>
      </c>
      <c r="E18" s="35">
        <f t="shared" si="0"/>
        <v>7</v>
      </c>
      <c r="F18" s="31">
        <v>0.1</v>
      </c>
      <c r="G18" s="35">
        <f t="shared" si="1"/>
        <v>0.70000000000000007</v>
      </c>
    </row>
    <row r="19" spans="1:8" ht="46.5">
      <c r="A19" s="36"/>
      <c r="B19" s="37"/>
      <c r="C19" s="37"/>
      <c r="D19" s="248" t="s">
        <v>300</v>
      </c>
      <c r="E19" s="35"/>
      <c r="F19" s="26"/>
      <c r="G19" s="35"/>
    </row>
    <row r="20" spans="1:8">
      <c r="A20" s="39" t="s">
        <v>275</v>
      </c>
      <c r="B20" s="38">
        <v>0</v>
      </c>
      <c r="C20" s="38">
        <v>0</v>
      </c>
      <c r="D20" s="38">
        <v>0</v>
      </c>
      <c r="E20" s="35">
        <f t="shared" si="0"/>
        <v>0</v>
      </c>
      <c r="F20" s="31">
        <v>0.1</v>
      </c>
      <c r="G20" s="35">
        <f t="shared" si="1"/>
        <v>0</v>
      </c>
    </row>
    <row r="21" spans="1:8" ht="45" customHeight="1">
      <c r="A21" s="36"/>
      <c r="B21" s="209" t="s">
        <v>276</v>
      </c>
      <c r="C21" s="38"/>
      <c r="D21" s="38"/>
      <c r="E21" s="35"/>
      <c r="F21" s="26"/>
      <c r="G21" s="35"/>
    </row>
    <row r="22" spans="1:8" ht="31">
      <c r="A22" s="176" t="s">
        <v>277</v>
      </c>
      <c r="B22" s="37">
        <v>0</v>
      </c>
      <c r="C22" s="37">
        <v>0</v>
      </c>
      <c r="D22" s="37">
        <v>6</v>
      </c>
      <c r="E22" s="35">
        <f t="shared" si="0"/>
        <v>6</v>
      </c>
      <c r="F22" s="31">
        <v>0.08</v>
      </c>
      <c r="G22" s="35">
        <f t="shared" si="1"/>
        <v>0.48</v>
      </c>
    </row>
    <row r="23" spans="1:8" ht="108.5">
      <c r="A23" s="177"/>
      <c r="B23" s="37"/>
      <c r="C23" s="37"/>
      <c r="D23" s="249" t="s">
        <v>305</v>
      </c>
      <c r="E23" s="35"/>
      <c r="F23" s="26"/>
      <c r="G23" s="35"/>
    </row>
    <row r="24" spans="1:8" ht="31">
      <c r="A24" s="39" t="s">
        <v>278</v>
      </c>
      <c r="B24" s="38">
        <v>0</v>
      </c>
      <c r="C24" s="38">
        <v>0</v>
      </c>
      <c r="D24" s="38">
        <v>0</v>
      </c>
      <c r="E24" s="35">
        <f t="shared" si="0"/>
        <v>0</v>
      </c>
      <c r="F24" s="31">
        <v>7.0000000000000007E-2</v>
      </c>
      <c r="G24" s="35">
        <f t="shared" si="1"/>
        <v>0</v>
      </c>
    </row>
    <row r="25" spans="1:8" ht="62">
      <c r="A25" s="104"/>
      <c r="B25" s="195" t="s">
        <v>279</v>
      </c>
      <c r="C25" s="38"/>
      <c r="D25" s="38"/>
      <c r="E25" s="35"/>
      <c r="F25" s="33">
        <f>SUM(F6,F8,F10,F12,F14,F16,F18,F20,F22,F24)</f>
        <v>0.99999999999999978</v>
      </c>
      <c r="G25" s="40">
        <f>SUM(G6:G24)*10</f>
        <v>25.55</v>
      </c>
      <c r="H25" s="40" t="s">
        <v>301</v>
      </c>
    </row>
    <row r="26" spans="1:8">
      <c r="B26" s="35">
        <f>SUM(B6:B25)</f>
        <v>2</v>
      </c>
      <c r="C26" s="35">
        <f>SUM(C6:C25)</f>
        <v>0</v>
      </c>
      <c r="D26" s="35">
        <f>SUM(D6:D25)</f>
        <v>21</v>
      </c>
    </row>
    <row r="29" spans="1:8">
      <c r="A29" s="171"/>
    </row>
    <row r="31" spans="1:8" s="52" customFormat="1" ht="75.75" customHeight="1">
      <c r="A31" s="127" t="s">
        <v>280</v>
      </c>
    </row>
    <row r="32" spans="1:8">
      <c r="A32" s="107"/>
    </row>
  </sheetData>
  <mergeCells count="8">
    <mergeCell ref="F2:F5"/>
    <mergeCell ref="G2:G5"/>
    <mergeCell ref="B1:D1"/>
    <mergeCell ref="A2:A5"/>
    <mergeCell ref="B2:B5"/>
    <mergeCell ref="C2:C5"/>
    <mergeCell ref="D2:D5"/>
    <mergeCell ref="E2: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H25"/>
  <sheetViews>
    <sheetView zoomScale="80" zoomScaleNormal="80" workbookViewId="0">
      <pane xSplit="1" topLeftCell="B1" activePane="topRight" state="frozen"/>
      <selection pane="topRight" activeCell="G23" sqref="G23"/>
    </sheetView>
  </sheetViews>
  <sheetFormatPr defaultColWidth="10.83203125" defaultRowHeight="15.5"/>
  <cols>
    <col min="1" max="1" width="98.08203125" style="27" customWidth="1"/>
    <col min="2" max="4" width="25" style="27" customWidth="1"/>
    <col min="5" max="5" width="21.83203125" style="27" customWidth="1"/>
    <col min="6" max="6" width="15.33203125" style="27" customWidth="1"/>
    <col min="7" max="7" width="17.83203125" style="27" customWidth="1"/>
    <col min="8" max="8" width="32.33203125" style="27" customWidth="1"/>
    <col min="9" max="16384" width="10.83203125" style="27"/>
  </cols>
  <sheetData>
    <row r="1" spans="1:7">
      <c r="A1" s="25"/>
      <c r="B1" s="221" t="s">
        <v>281</v>
      </c>
      <c r="C1" s="221"/>
      <c r="D1" s="221"/>
      <c r="E1" s="25"/>
      <c r="F1" s="25"/>
      <c r="G1" s="25"/>
    </row>
    <row r="2" spans="1:7" ht="16" customHeight="1">
      <c r="A2" s="221" t="s">
        <v>282</v>
      </c>
      <c r="B2" s="222" t="s">
        <v>283</v>
      </c>
      <c r="C2" s="222" t="s">
        <v>284</v>
      </c>
      <c r="D2" s="222" t="s">
        <v>285</v>
      </c>
      <c r="E2" s="221" t="s">
        <v>13</v>
      </c>
      <c r="F2" s="226" t="s">
        <v>14</v>
      </c>
      <c r="G2" s="226" t="s">
        <v>15</v>
      </c>
    </row>
    <row r="3" spans="1:7" ht="15.65" customHeight="1">
      <c r="A3" s="221"/>
      <c r="B3" s="223"/>
      <c r="C3" s="222"/>
      <c r="D3" s="223"/>
      <c r="E3" s="221"/>
      <c r="F3" s="226"/>
      <c r="G3" s="226"/>
    </row>
    <row r="4" spans="1:7" ht="15.65" customHeight="1">
      <c r="A4" s="221"/>
      <c r="B4" s="223"/>
      <c r="C4" s="222"/>
      <c r="D4" s="223"/>
      <c r="E4" s="221"/>
      <c r="F4" s="226"/>
      <c r="G4" s="226"/>
    </row>
    <row r="5" spans="1:7" ht="31" customHeight="1">
      <c r="A5" s="221"/>
      <c r="B5" s="223"/>
      <c r="C5" s="227"/>
      <c r="D5" s="223"/>
      <c r="E5" s="221"/>
      <c r="F5" s="226"/>
      <c r="G5" s="226"/>
    </row>
    <row r="6" spans="1:7">
      <c r="A6" s="36" t="s">
        <v>286</v>
      </c>
      <c r="B6" s="37">
        <v>0</v>
      </c>
      <c r="C6" s="37">
        <v>0</v>
      </c>
      <c r="D6" s="37">
        <v>0</v>
      </c>
      <c r="E6" s="35">
        <f>SUM(B6:D6)</f>
        <v>0</v>
      </c>
      <c r="F6" s="29">
        <v>0.15</v>
      </c>
      <c r="G6" s="35">
        <f>(B6*F6)+(C6*F6)+(D6*F6)</f>
        <v>0</v>
      </c>
    </row>
    <row r="7" spans="1:7" ht="15.65" customHeight="1">
      <c r="A7" s="36"/>
      <c r="B7" s="37"/>
      <c r="C7" s="37"/>
      <c r="D7" s="37"/>
      <c r="E7" s="35"/>
      <c r="F7" s="26"/>
      <c r="G7" s="35"/>
    </row>
    <row r="8" spans="1:7" ht="15.65" customHeight="1">
      <c r="A8" s="36" t="s">
        <v>287</v>
      </c>
      <c r="B8" s="38">
        <v>0</v>
      </c>
      <c r="C8" s="38">
        <v>0</v>
      </c>
      <c r="D8" s="38">
        <v>0</v>
      </c>
      <c r="E8" s="35">
        <f t="shared" ref="E8:E20" si="0">SUM(B8:D8)</f>
        <v>0</v>
      </c>
      <c r="F8" s="30">
        <v>0.2</v>
      </c>
      <c r="G8" s="35">
        <f t="shared" ref="G8:G20" si="1">(B8*F8)+(C8*F8)+(D8*F8)</f>
        <v>0</v>
      </c>
    </row>
    <row r="9" spans="1:7" ht="15.65" customHeight="1">
      <c r="A9" s="36"/>
      <c r="B9" s="38"/>
      <c r="C9" s="38"/>
      <c r="D9" s="38"/>
      <c r="E9" s="35"/>
      <c r="F9" s="26"/>
      <c r="G9" s="35"/>
    </row>
    <row r="10" spans="1:7" ht="15.65" customHeight="1">
      <c r="A10" s="39" t="s">
        <v>288</v>
      </c>
      <c r="B10" s="37">
        <v>0</v>
      </c>
      <c r="C10" s="37">
        <v>0</v>
      </c>
      <c r="D10" s="37">
        <v>0</v>
      </c>
      <c r="E10" s="35">
        <f t="shared" si="0"/>
        <v>0</v>
      </c>
      <c r="F10" s="30">
        <v>0.2</v>
      </c>
      <c r="G10" s="35">
        <f t="shared" si="1"/>
        <v>0</v>
      </c>
    </row>
    <row r="11" spans="1:7" ht="15.65" customHeight="1">
      <c r="A11" s="36"/>
      <c r="B11" s="37"/>
      <c r="C11" s="37"/>
      <c r="D11" s="37"/>
      <c r="E11" s="35"/>
      <c r="F11" s="26"/>
      <c r="G11" s="35"/>
    </row>
    <row r="12" spans="1:7" ht="15.65" customHeight="1">
      <c r="A12" s="39" t="s">
        <v>289</v>
      </c>
      <c r="B12" s="38">
        <v>0</v>
      </c>
      <c r="C12" s="38">
        <v>0</v>
      </c>
      <c r="D12" s="38">
        <v>0</v>
      </c>
      <c r="E12" s="35">
        <f t="shared" si="0"/>
        <v>0</v>
      </c>
      <c r="F12" s="31">
        <v>0.1</v>
      </c>
      <c r="G12" s="35">
        <f t="shared" si="1"/>
        <v>0</v>
      </c>
    </row>
    <row r="13" spans="1:7" ht="15.65" customHeight="1">
      <c r="A13" s="39"/>
      <c r="B13" s="38"/>
      <c r="C13" s="38"/>
      <c r="D13" s="38"/>
      <c r="E13" s="35"/>
      <c r="F13" s="32"/>
      <c r="G13" s="35"/>
    </row>
    <row r="14" spans="1:7" ht="15.65" customHeight="1">
      <c r="A14" s="39" t="s">
        <v>290</v>
      </c>
      <c r="B14" s="37">
        <v>0</v>
      </c>
      <c r="C14" s="37">
        <v>0</v>
      </c>
      <c r="D14" s="37">
        <v>0</v>
      </c>
      <c r="E14" s="35">
        <f t="shared" si="0"/>
        <v>0</v>
      </c>
      <c r="F14" s="31">
        <v>0.1</v>
      </c>
      <c r="G14" s="35">
        <f t="shared" si="1"/>
        <v>0</v>
      </c>
    </row>
    <row r="15" spans="1:7" ht="15.65" customHeight="1">
      <c r="A15" s="39"/>
      <c r="B15" s="37"/>
      <c r="C15" s="37"/>
      <c r="D15" s="37"/>
      <c r="E15" s="35"/>
      <c r="F15" s="32"/>
      <c r="G15" s="35"/>
    </row>
    <row r="16" spans="1:7" ht="15.65" customHeight="1">
      <c r="A16" s="39" t="s">
        <v>291</v>
      </c>
      <c r="B16" s="38">
        <v>0</v>
      </c>
      <c r="C16" s="38">
        <v>0</v>
      </c>
      <c r="D16" s="38">
        <v>0</v>
      </c>
      <c r="E16" s="35">
        <f t="shared" si="0"/>
        <v>0</v>
      </c>
      <c r="F16" s="31">
        <v>0.1</v>
      </c>
      <c r="G16" s="35">
        <f t="shared" si="1"/>
        <v>0</v>
      </c>
    </row>
    <row r="17" spans="1:8" ht="15.65" customHeight="1">
      <c r="A17" s="39"/>
      <c r="B17" s="38"/>
      <c r="C17" s="38"/>
      <c r="D17" s="38"/>
      <c r="E17" s="35"/>
      <c r="F17" s="32"/>
      <c r="G17" s="35"/>
    </row>
    <row r="18" spans="1:8" ht="15.65" customHeight="1">
      <c r="A18" s="39" t="s">
        <v>292</v>
      </c>
      <c r="B18" s="37">
        <v>0</v>
      </c>
      <c r="C18" s="37">
        <v>0</v>
      </c>
      <c r="D18" s="37">
        <v>0</v>
      </c>
      <c r="E18" s="35">
        <f t="shared" si="0"/>
        <v>0</v>
      </c>
      <c r="F18" s="31">
        <v>0.1</v>
      </c>
      <c r="G18" s="35">
        <f t="shared" si="1"/>
        <v>0</v>
      </c>
    </row>
    <row r="19" spans="1:8" ht="15.65" customHeight="1">
      <c r="A19" s="36"/>
      <c r="B19" s="37"/>
      <c r="C19" s="37"/>
      <c r="D19" s="37"/>
      <c r="E19" s="35"/>
      <c r="F19" s="26"/>
      <c r="G19" s="35"/>
    </row>
    <row r="20" spans="1:8" ht="31" customHeight="1">
      <c r="A20" s="39" t="s">
        <v>293</v>
      </c>
      <c r="B20" s="37">
        <v>0</v>
      </c>
      <c r="C20" s="37">
        <v>0</v>
      </c>
      <c r="D20" s="37">
        <v>0</v>
      </c>
      <c r="E20" s="35">
        <f t="shared" si="0"/>
        <v>0</v>
      </c>
      <c r="F20" s="31">
        <v>0.05</v>
      </c>
      <c r="G20" s="35">
        <f t="shared" si="1"/>
        <v>0</v>
      </c>
    </row>
    <row r="21" spans="1:8" ht="15.65" customHeight="1">
      <c r="A21" s="36"/>
      <c r="B21" s="37"/>
      <c r="C21" s="37"/>
      <c r="D21" s="37"/>
      <c r="E21" s="35"/>
      <c r="F21" s="26"/>
      <c r="G21" s="35"/>
    </row>
    <row r="22" spans="1:8" ht="46.5" customHeight="1">
      <c r="A22" s="41"/>
      <c r="B22" s="44">
        <f>SUM(B6:B21)</f>
        <v>0</v>
      </c>
      <c r="C22" s="44">
        <f>SUM(C6:C21)</f>
        <v>0</v>
      </c>
      <c r="D22" s="44">
        <f>SUM(D6:D21)</f>
        <v>0</v>
      </c>
      <c r="F22" s="33">
        <f>SUM(F6,F8,F10:F20)</f>
        <v>1</v>
      </c>
      <c r="G22" s="40">
        <f>SUM(G6:G20)*100/5</f>
        <v>0</v>
      </c>
      <c r="H22" s="57" t="s">
        <v>294</v>
      </c>
    </row>
    <row r="23" spans="1:8" ht="15.65" customHeight="1">
      <c r="A23" s="42"/>
      <c r="B23" s="42"/>
      <c r="C23" s="42"/>
      <c r="D23" s="42"/>
      <c r="F23" s="33"/>
    </row>
    <row r="25" spans="1:8" ht="15.65" customHeight="1"/>
  </sheetData>
  <mergeCells count="8">
    <mergeCell ref="F2:F5"/>
    <mergeCell ref="G2:G5"/>
    <mergeCell ref="B1:D1"/>
    <mergeCell ref="A2:A5"/>
    <mergeCell ref="B2:B5"/>
    <mergeCell ref="C2:C5"/>
    <mergeCell ref="D2:D5"/>
    <mergeCell ref="E2: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D63"/>
  <sheetViews>
    <sheetView topLeftCell="A35" zoomScale="70" zoomScaleNormal="70" workbookViewId="0">
      <selection activeCell="D63" sqref="D63"/>
    </sheetView>
  </sheetViews>
  <sheetFormatPr defaultColWidth="10.58203125" defaultRowHeight="15.5"/>
  <cols>
    <col min="1" max="1" width="49.33203125" bestFit="1" customWidth="1"/>
    <col min="2" max="2" width="118.08203125" style="27" customWidth="1"/>
    <col min="3" max="3" width="22" customWidth="1"/>
  </cols>
  <sheetData>
    <row r="1" spans="1:4">
      <c r="A1" s="61" t="s">
        <v>0</v>
      </c>
      <c r="B1" s="112" t="s">
        <v>46</v>
      </c>
      <c r="C1" s="28" t="s">
        <v>47</v>
      </c>
    </row>
    <row r="2" spans="1:4">
      <c r="A2" s="62"/>
      <c r="B2" s="6"/>
      <c r="C2" s="66"/>
    </row>
    <row r="3" spans="1:4">
      <c r="A3" s="63" t="s">
        <v>16</v>
      </c>
      <c r="B3" s="86">
        <v>2</v>
      </c>
      <c r="C3" s="216">
        <v>66.666666669999998</v>
      </c>
      <c r="D3" s="217">
        <f>'Banco (CRÉDITO)'!O3*'Presença nas Políticas'!B3</f>
        <v>0.1</v>
      </c>
    </row>
    <row r="4" spans="1:4" ht="62">
      <c r="A4" s="64"/>
      <c r="B4" s="113" t="s">
        <v>48</v>
      </c>
      <c r="C4" s="66"/>
      <c r="D4" s="218"/>
    </row>
    <row r="5" spans="1:4">
      <c r="A5" s="64" t="s">
        <v>17</v>
      </c>
      <c r="B5" s="87">
        <v>2</v>
      </c>
      <c r="C5" s="216">
        <v>66.666666669999998</v>
      </c>
      <c r="D5" s="217">
        <f>'Banco (CRÉDITO)'!O5*'Presença nas Políticas'!B5</f>
        <v>0.1</v>
      </c>
    </row>
    <row r="6" spans="1:4" ht="68.25" customHeight="1">
      <c r="A6" s="64"/>
      <c r="B6" s="114" t="s">
        <v>48</v>
      </c>
      <c r="C6" s="66"/>
      <c r="D6" s="218"/>
    </row>
    <row r="7" spans="1:4">
      <c r="A7" s="64" t="s">
        <v>18</v>
      </c>
      <c r="B7" s="86">
        <v>2</v>
      </c>
      <c r="C7" s="66">
        <f t="shared" ref="C7:C61" si="0">B7/3*100</f>
        <v>66.666666666666657</v>
      </c>
      <c r="D7" s="217">
        <f>'Banco (CRÉDITO)'!O7*'Presença nas Políticas'!B7</f>
        <v>0.08</v>
      </c>
    </row>
    <row r="8" spans="1:4" ht="46.5">
      <c r="A8" s="64"/>
      <c r="B8" s="115" t="s">
        <v>49</v>
      </c>
      <c r="C8" s="66"/>
      <c r="D8" s="218"/>
    </row>
    <row r="9" spans="1:4">
      <c r="A9" s="64" t="s">
        <v>19</v>
      </c>
      <c r="B9" s="87">
        <v>1</v>
      </c>
      <c r="C9" s="66">
        <f t="shared" si="0"/>
        <v>33.333333333333329</v>
      </c>
      <c r="D9" s="217">
        <f>'Banco (CRÉDITO)'!O9*'Presença nas Políticas'!B9</f>
        <v>0.04</v>
      </c>
    </row>
    <row r="10" spans="1:4">
      <c r="A10" s="64"/>
      <c r="B10" s="87" t="s">
        <v>50</v>
      </c>
      <c r="C10" s="66"/>
      <c r="D10" s="218"/>
    </row>
    <row r="11" spans="1:4">
      <c r="A11" s="64" t="s">
        <v>20</v>
      </c>
      <c r="B11" s="86">
        <v>1.5</v>
      </c>
      <c r="C11" s="66">
        <f t="shared" si="0"/>
        <v>50</v>
      </c>
      <c r="D11" s="217">
        <f>'Banco (CRÉDITO)'!O11*'Presença nas Políticas'!B11</f>
        <v>7.5000000000000011E-2</v>
      </c>
    </row>
    <row r="12" spans="1:4" ht="77.5">
      <c r="A12" s="64"/>
      <c r="B12" s="179" t="s">
        <v>51</v>
      </c>
      <c r="C12" s="66"/>
      <c r="D12" s="218"/>
    </row>
    <row r="13" spans="1:4">
      <c r="A13" s="64" t="s">
        <v>21</v>
      </c>
      <c r="B13" s="116">
        <v>0.5</v>
      </c>
      <c r="C13" s="66">
        <f t="shared" si="0"/>
        <v>16.666666666666664</v>
      </c>
      <c r="D13" s="217">
        <f>'Banco (CRÉDITO)'!O13*'Presença nas Políticas'!B13</f>
        <v>0.02</v>
      </c>
    </row>
    <row r="14" spans="1:4">
      <c r="A14" s="64"/>
      <c r="B14" s="87" t="s">
        <v>52</v>
      </c>
      <c r="C14" s="66"/>
      <c r="D14" s="218"/>
    </row>
    <row r="15" spans="1:4">
      <c r="A15" s="64" t="s">
        <v>22</v>
      </c>
      <c r="B15" s="117">
        <v>0.5</v>
      </c>
      <c r="C15" s="66">
        <f t="shared" si="0"/>
        <v>16.666666666666664</v>
      </c>
      <c r="D15" s="217">
        <f>'Banco (CRÉDITO)'!O15*'Presença nas Políticas'!B15</f>
        <v>2.5000000000000001E-2</v>
      </c>
    </row>
    <row r="16" spans="1:4">
      <c r="A16" s="64"/>
      <c r="B16" s="178" t="s">
        <v>52</v>
      </c>
      <c r="C16" s="66"/>
      <c r="D16" s="218"/>
    </row>
    <row r="17" spans="1:4">
      <c r="A17" s="64" t="s">
        <v>23</v>
      </c>
      <c r="B17" s="116">
        <v>0.5</v>
      </c>
      <c r="C17" s="66">
        <f t="shared" si="0"/>
        <v>16.666666666666664</v>
      </c>
      <c r="D17" s="217">
        <f>'Banco (CRÉDITO)'!O17*'Presença nas Políticas'!B17</f>
        <v>1.4999999999999999E-2</v>
      </c>
    </row>
    <row r="18" spans="1:4">
      <c r="A18" s="64"/>
      <c r="B18" s="180" t="s">
        <v>52</v>
      </c>
      <c r="C18" s="66"/>
      <c r="D18" s="218"/>
    </row>
    <row r="19" spans="1:4">
      <c r="A19" s="64" t="s">
        <v>24</v>
      </c>
      <c r="B19" s="117">
        <v>0.5</v>
      </c>
      <c r="C19" s="66">
        <f t="shared" si="0"/>
        <v>16.666666666666664</v>
      </c>
      <c r="D19" s="217">
        <f>'Banco (CRÉDITO)'!O19*'Presença nas Políticas'!B19</f>
        <v>1.4999999999999999E-2</v>
      </c>
    </row>
    <row r="20" spans="1:4">
      <c r="A20" s="64"/>
      <c r="B20" s="178" t="s">
        <v>52</v>
      </c>
      <c r="C20" s="66"/>
      <c r="D20" s="218"/>
    </row>
    <row r="21" spans="1:4">
      <c r="A21" s="64" t="s">
        <v>25</v>
      </c>
      <c r="B21" s="116">
        <v>0</v>
      </c>
      <c r="C21" s="66">
        <f t="shared" si="0"/>
        <v>0</v>
      </c>
      <c r="D21" s="218"/>
    </row>
    <row r="22" spans="1:4">
      <c r="A22" s="64"/>
      <c r="B22" s="178"/>
      <c r="C22" s="66"/>
      <c r="D22" s="218"/>
    </row>
    <row r="23" spans="1:4">
      <c r="A23" s="64" t="s">
        <v>26</v>
      </c>
      <c r="B23" s="117">
        <v>0.5</v>
      </c>
      <c r="C23" s="66">
        <f t="shared" si="0"/>
        <v>16.666666666666664</v>
      </c>
      <c r="D23" s="217">
        <f>'Banco (CRÉDITO)'!O23*'Presença nas Políticas'!B23</f>
        <v>1.4999999999999999E-2</v>
      </c>
    </row>
    <row r="24" spans="1:4">
      <c r="A24" s="64"/>
      <c r="B24" s="87" t="s">
        <v>52</v>
      </c>
      <c r="C24" s="66"/>
      <c r="D24" s="218"/>
    </row>
    <row r="25" spans="1:4">
      <c r="A25" s="64" t="s">
        <v>27</v>
      </c>
      <c r="B25" s="116">
        <v>1.5</v>
      </c>
      <c r="C25" s="66">
        <v>50</v>
      </c>
      <c r="D25" s="217">
        <f>'Banco (CRÉDITO)'!O25*'Presença nas Políticas'!B25</f>
        <v>0.06</v>
      </c>
    </row>
    <row r="26" spans="1:4" ht="46.5">
      <c r="A26" s="64"/>
      <c r="B26" s="118" t="s">
        <v>53</v>
      </c>
      <c r="C26" s="66"/>
      <c r="D26" s="218"/>
    </row>
    <row r="27" spans="1:4">
      <c r="A27" s="64" t="s">
        <v>28</v>
      </c>
      <c r="B27" s="117">
        <v>0.5</v>
      </c>
      <c r="C27" s="66">
        <f t="shared" si="0"/>
        <v>16.666666666666664</v>
      </c>
      <c r="D27" s="217">
        <f>'Banco (CRÉDITO)'!O27*'Presença nas Políticas'!B27</f>
        <v>0.01</v>
      </c>
    </row>
    <row r="28" spans="1:4">
      <c r="A28" s="64"/>
      <c r="B28" s="178" t="s">
        <v>52</v>
      </c>
      <c r="C28" s="66"/>
      <c r="D28" s="218"/>
    </row>
    <row r="29" spans="1:4">
      <c r="A29" s="64" t="s">
        <v>29</v>
      </c>
      <c r="B29" s="116">
        <v>3</v>
      </c>
      <c r="C29" s="66">
        <f t="shared" si="0"/>
        <v>100</v>
      </c>
      <c r="D29" s="217">
        <f>'Banco (CRÉDITO)'!O29*'Presença nas Políticas'!B29</f>
        <v>0.12</v>
      </c>
    </row>
    <row r="30" spans="1:4" ht="114" customHeight="1">
      <c r="A30" s="64"/>
      <c r="B30" s="201" t="s">
        <v>54</v>
      </c>
      <c r="C30" s="66"/>
      <c r="D30" s="218"/>
    </row>
    <row r="31" spans="1:4">
      <c r="A31" s="64" t="s">
        <v>30</v>
      </c>
      <c r="B31" s="117">
        <v>3</v>
      </c>
      <c r="C31" s="66">
        <f t="shared" si="0"/>
        <v>100</v>
      </c>
      <c r="D31" s="217">
        <f>'Banco (CRÉDITO)'!O31*'Presença nas Políticas'!B31</f>
        <v>0.09</v>
      </c>
    </row>
    <row r="32" spans="1:4" ht="115" customHeight="1">
      <c r="A32" s="64"/>
      <c r="B32" s="122" t="s">
        <v>55</v>
      </c>
      <c r="C32" s="66"/>
      <c r="D32" s="218"/>
    </row>
    <row r="33" spans="1:4">
      <c r="A33" s="64" t="s">
        <v>31</v>
      </c>
      <c r="B33" s="119">
        <v>0.5</v>
      </c>
      <c r="C33" s="66">
        <f t="shared" si="0"/>
        <v>16.666666666666664</v>
      </c>
      <c r="D33" s="217">
        <f>'Banco (CRÉDITO)'!O33*'Presença nas Políticas'!B33</f>
        <v>0.02</v>
      </c>
    </row>
    <row r="34" spans="1:4">
      <c r="A34" s="64"/>
      <c r="B34" s="87" t="s">
        <v>52</v>
      </c>
      <c r="C34" s="66"/>
      <c r="D34" s="218"/>
    </row>
    <row r="35" spans="1:4">
      <c r="A35" s="64" t="s">
        <v>32</v>
      </c>
      <c r="B35" s="117">
        <v>0.5</v>
      </c>
      <c r="C35" s="66">
        <f t="shared" si="0"/>
        <v>16.666666666666664</v>
      </c>
      <c r="D35" s="217">
        <f>'Banco (CRÉDITO)'!O35*'Presença nas Políticas'!B35</f>
        <v>0.02</v>
      </c>
    </row>
    <row r="36" spans="1:4">
      <c r="A36" s="64"/>
      <c r="B36" s="178" t="s">
        <v>52</v>
      </c>
      <c r="C36" s="66"/>
      <c r="D36" s="218"/>
    </row>
    <row r="37" spans="1:4">
      <c r="A37" s="64" t="s">
        <v>33</v>
      </c>
      <c r="B37" s="116">
        <v>0</v>
      </c>
      <c r="C37" s="66">
        <f t="shared" si="0"/>
        <v>0</v>
      </c>
      <c r="D37" s="218"/>
    </row>
    <row r="38" spans="1:4">
      <c r="A38" s="64"/>
      <c r="B38" s="116"/>
      <c r="C38" s="66"/>
      <c r="D38" s="218"/>
    </row>
    <row r="39" spans="1:4">
      <c r="A39" s="64" t="s">
        <v>34</v>
      </c>
      <c r="B39" s="117">
        <v>0</v>
      </c>
      <c r="C39" s="66">
        <f t="shared" si="0"/>
        <v>0</v>
      </c>
      <c r="D39" s="218"/>
    </row>
    <row r="40" spans="1:4">
      <c r="A40" s="64"/>
      <c r="B40" s="117"/>
      <c r="C40" s="66"/>
      <c r="D40" s="218"/>
    </row>
    <row r="41" spans="1:4">
      <c r="A41" s="64" t="s">
        <v>35</v>
      </c>
      <c r="B41" s="116">
        <v>0</v>
      </c>
      <c r="C41" s="66">
        <f t="shared" si="0"/>
        <v>0</v>
      </c>
      <c r="D41" s="218"/>
    </row>
    <row r="42" spans="1:4">
      <c r="A42" s="64"/>
      <c r="B42" s="116"/>
      <c r="C42" s="66"/>
      <c r="D42" s="218"/>
    </row>
    <row r="43" spans="1:4">
      <c r="A43" s="64" t="s">
        <v>36</v>
      </c>
      <c r="B43" s="117">
        <v>2</v>
      </c>
      <c r="C43" s="66">
        <f t="shared" si="0"/>
        <v>66.666666666666657</v>
      </c>
      <c r="D43" s="217">
        <f>'Banco (CRÉDITO)'!O43*'Presença nas Políticas'!B43</f>
        <v>0.08</v>
      </c>
    </row>
    <row r="44" spans="1:4" ht="62">
      <c r="A44" s="64"/>
      <c r="B44" s="120" t="s">
        <v>56</v>
      </c>
      <c r="C44" s="66"/>
      <c r="D44" s="218"/>
    </row>
    <row r="45" spans="1:4">
      <c r="A45" s="64" t="s">
        <v>37</v>
      </c>
      <c r="B45" s="116">
        <v>0.5</v>
      </c>
      <c r="C45" s="66">
        <f t="shared" si="0"/>
        <v>16.666666666666664</v>
      </c>
      <c r="D45" s="217">
        <f>'Banco (CRÉDITO)'!O45*'Presença nas Políticas'!B45</f>
        <v>1.4999999999999999E-2</v>
      </c>
    </row>
    <row r="46" spans="1:4">
      <c r="A46" s="64"/>
      <c r="B46" s="87" t="s">
        <v>52</v>
      </c>
      <c r="C46" s="66"/>
      <c r="D46" s="218"/>
    </row>
    <row r="47" spans="1:4">
      <c r="A47" s="64" t="s">
        <v>38</v>
      </c>
      <c r="B47" s="117">
        <v>0</v>
      </c>
      <c r="C47" s="66">
        <f t="shared" si="0"/>
        <v>0</v>
      </c>
      <c r="D47" s="218"/>
    </row>
    <row r="48" spans="1:4">
      <c r="A48" s="64"/>
      <c r="B48" s="117"/>
      <c r="C48" s="66"/>
      <c r="D48" s="218"/>
    </row>
    <row r="49" spans="1:4">
      <c r="A49" s="64" t="s">
        <v>39</v>
      </c>
      <c r="B49" s="116">
        <v>1</v>
      </c>
      <c r="C49" s="66">
        <f t="shared" si="0"/>
        <v>33.333333333333329</v>
      </c>
      <c r="D49" s="217">
        <f>'Banco (CRÉDITO)'!O49*'Presença nas Políticas'!B49</f>
        <v>0.03</v>
      </c>
    </row>
    <row r="50" spans="1:4">
      <c r="A50" s="64"/>
      <c r="B50" s="116" t="s">
        <v>57</v>
      </c>
      <c r="C50" s="121" t="s">
        <v>58</v>
      </c>
      <c r="D50" s="218"/>
    </row>
    <row r="51" spans="1:4">
      <c r="A51" s="64" t="s">
        <v>40</v>
      </c>
      <c r="B51" s="117">
        <v>1</v>
      </c>
      <c r="C51" s="66">
        <f t="shared" si="0"/>
        <v>33.333333333333329</v>
      </c>
      <c r="D51" s="217">
        <f>'Banco (CRÉDITO)'!O51*'Presença nas Políticas'!B51</f>
        <v>0.03</v>
      </c>
    </row>
    <row r="52" spans="1:4" ht="31">
      <c r="A52" s="64"/>
      <c r="B52" s="117" t="s">
        <v>59</v>
      </c>
      <c r="C52" s="66"/>
      <c r="D52" s="218"/>
    </row>
    <row r="53" spans="1:4">
      <c r="A53" s="64" t="s">
        <v>41</v>
      </c>
      <c r="B53" s="116">
        <v>0</v>
      </c>
      <c r="C53" s="66">
        <f t="shared" si="0"/>
        <v>0</v>
      </c>
      <c r="D53" s="218"/>
    </row>
    <row r="54" spans="1:4">
      <c r="A54" s="64"/>
      <c r="B54" s="116"/>
      <c r="C54" s="66"/>
      <c r="D54" s="218"/>
    </row>
    <row r="55" spans="1:4">
      <c r="A55" s="64" t="s">
        <v>42</v>
      </c>
      <c r="B55" s="117">
        <v>2.5</v>
      </c>
      <c r="C55" s="66">
        <f t="shared" si="0"/>
        <v>83.333333333333343</v>
      </c>
      <c r="D55" s="217">
        <f>'Banco (CRÉDITO)'!O55*'Presença nas Políticas'!B55</f>
        <v>0.05</v>
      </c>
    </row>
    <row r="56" spans="1:4" ht="46.5">
      <c r="A56" s="64"/>
      <c r="B56" s="120" t="s">
        <v>60</v>
      </c>
      <c r="C56" s="66"/>
      <c r="D56" s="218"/>
    </row>
    <row r="57" spans="1:4">
      <c r="A57" s="64" t="s">
        <v>43</v>
      </c>
      <c r="B57" s="116">
        <v>0</v>
      </c>
      <c r="C57" s="66">
        <f t="shared" si="0"/>
        <v>0</v>
      </c>
      <c r="D57" s="218"/>
    </row>
    <row r="58" spans="1:4">
      <c r="A58" s="64"/>
      <c r="B58" s="116"/>
      <c r="C58" s="66"/>
      <c r="D58" s="218"/>
    </row>
    <row r="59" spans="1:4">
      <c r="A59" s="64" t="s">
        <v>44</v>
      </c>
      <c r="B59" s="117">
        <v>0</v>
      </c>
      <c r="C59" s="66">
        <f t="shared" si="0"/>
        <v>0</v>
      </c>
      <c r="D59" s="218"/>
    </row>
    <row r="60" spans="1:4">
      <c r="A60" s="64"/>
      <c r="B60" s="117"/>
      <c r="C60" s="66"/>
      <c r="D60" s="218"/>
    </row>
    <row r="61" spans="1:4">
      <c r="A61" s="64" t="s">
        <v>45</v>
      </c>
      <c r="B61" s="116">
        <v>1</v>
      </c>
      <c r="C61" s="66">
        <f t="shared" si="0"/>
        <v>33.333333333333329</v>
      </c>
      <c r="D61" s="217">
        <f>'Banco (CRÉDITO)'!O61*'Presença nas Políticas'!B61</f>
        <v>0.03</v>
      </c>
    </row>
    <row r="62" spans="1:4">
      <c r="A62" s="64"/>
      <c r="B62" s="87" t="s">
        <v>61</v>
      </c>
      <c r="C62" s="66"/>
      <c r="D62" s="218"/>
    </row>
    <row r="63" spans="1:4">
      <c r="A63" s="65" t="s">
        <v>13</v>
      </c>
      <c r="B63" s="88">
        <f>SUM(B3:B62)/30</f>
        <v>0.93333333333333335</v>
      </c>
      <c r="D63" s="2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D63"/>
  <sheetViews>
    <sheetView topLeftCell="A31" zoomScale="70" zoomScaleNormal="70" workbookViewId="0">
      <selection activeCell="F64" sqref="F64"/>
    </sheetView>
  </sheetViews>
  <sheetFormatPr defaultColWidth="10.83203125" defaultRowHeight="15.5"/>
  <cols>
    <col min="1" max="1" width="49.33203125" style="1" bestFit="1" customWidth="1"/>
    <col min="2" max="2" width="103.5" style="27" customWidth="1"/>
    <col min="3" max="3" width="22" style="1" customWidth="1"/>
    <col min="4" max="4" width="20.08203125" style="1" bestFit="1" customWidth="1"/>
    <col min="5" max="16384" width="10.83203125" style="1"/>
  </cols>
  <sheetData>
    <row r="1" spans="1:4">
      <c r="A1" s="5" t="s">
        <v>0</v>
      </c>
      <c r="B1" s="4" t="s">
        <v>62</v>
      </c>
      <c r="C1" s="28" t="s">
        <v>47</v>
      </c>
    </row>
    <row r="2" spans="1:4" ht="232.5">
      <c r="A2" s="3"/>
      <c r="B2" s="188" t="s">
        <v>63</v>
      </c>
      <c r="C2" s="93"/>
    </row>
    <row r="3" spans="1:4">
      <c r="A3" s="9" t="s">
        <v>16</v>
      </c>
      <c r="B3" s="86">
        <v>0</v>
      </c>
      <c r="C3" s="93">
        <f>B3/7*100</f>
        <v>0</v>
      </c>
      <c r="D3" s="1">
        <f>'Banco (CRÉDITO)'!O3*'Profundidade de Políticas'!B3</f>
        <v>0</v>
      </c>
    </row>
    <row r="4" spans="1:4">
      <c r="A4" s="9"/>
      <c r="B4" s="189" t="s">
        <v>64</v>
      </c>
      <c r="C4" s="93"/>
    </row>
    <row r="5" spans="1:4">
      <c r="A5" s="9" t="s">
        <v>17</v>
      </c>
      <c r="B5" s="183">
        <v>0</v>
      </c>
      <c r="C5" s="93">
        <f>B5/7*100</f>
        <v>0</v>
      </c>
      <c r="D5" s="1">
        <f>'Banco (CRÉDITO)'!O5*'Profundidade de Políticas'!B5</f>
        <v>0</v>
      </c>
    </row>
    <row r="6" spans="1:4">
      <c r="A6" s="9"/>
      <c r="B6" s="190" t="s">
        <v>64</v>
      </c>
      <c r="C6" s="93"/>
    </row>
    <row r="7" spans="1:4">
      <c r="A7" s="9" t="s">
        <v>18</v>
      </c>
      <c r="B7" s="181">
        <v>4</v>
      </c>
      <c r="C7" s="93">
        <f>B7/7*100</f>
        <v>57.142857142857139</v>
      </c>
      <c r="D7" s="1">
        <f>'Banco (CRÉDITO)'!O7*'Profundidade de Políticas'!B7</f>
        <v>0.16</v>
      </c>
    </row>
    <row r="8" spans="1:4" ht="62">
      <c r="A8" s="9"/>
      <c r="B8" s="191" t="s">
        <v>65</v>
      </c>
      <c r="C8" s="93"/>
    </row>
    <row r="9" spans="1:4">
      <c r="A9" s="9" t="s">
        <v>19</v>
      </c>
      <c r="B9" s="183">
        <v>0</v>
      </c>
      <c r="C9" s="93">
        <f>B9/7*100</f>
        <v>0</v>
      </c>
      <c r="D9" s="1">
        <f>'Banco (CRÉDITO)'!O9*'Profundidade de Políticas'!B9</f>
        <v>0</v>
      </c>
    </row>
    <row r="10" spans="1:4">
      <c r="A10" s="9"/>
      <c r="B10" s="192" t="s">
        <v>66</v>
      </c>
      <c r="C10" s="93"/>
    </row>
    <row r="11" spans="1:4">
      <c r="A11" s="9" t="s">
        <v>20</v>
      </c>
      <c r="B11" s="181">
        <v>3</v>
      </c>
      <c r="C11" s="93">
        <f>B11/7*100</f>
        <v>42.857142857142854</v>
      </c>
      <c r="D11" s="1">
        <f>'Banco (CRÉDITO)'!O11*'Profundidade de Políticas'!B11</f>
        <v>0.15000000000000002</v>
      </c>
    </row>
    <row r="12" spans="1:4" ht="138.75" customHeight="1">
      <c r="A12" s="9"/>
      <c r="B12" s="193" t="s">
        <v>67</v>
      </c>
      <c r="C12" s="93"/>
    </row>
    <row r="13" spans="1:4">
      <c r="A13" s="9" t="s">
        <v>21</v>
      </c>
      <c r="B13" s="183">
        <v>0</v>
      </c>
      <c r="C13" s="93">
        <f>B13/7*100</f>
        <v>0</v>
      </c>
      <c r="D13" s="1">
        <f>'Banco (CRÉDITO)'!O13*'Profundidade de Políticas'!B13</f>
        <v>0</v>
      </c>
    </row>
    <row r="14" spans="1:4">
      <c r="A14" s="9"/>
      <c r="B14" s="192" t="s">
        <v>66</v>
      </c>
      <c r="C14" s="93"/>
    </row>
    <row r="15" spans="1:4">
      <c r="A15" s="9" t="s">
        <v>22</v>
      </c>
      <c r="B15" s="194">
        <v>0</v>
      </c>
      <c r="C15" s="93">
        <f>B15/7*100</f>
        <v>0</v>
      </c>
      <c r="D15" s="1">
        <f>'Banco (CRÉDITO)'!O15*'Profundidade de Políticas'!B15</f>
        <v>0</v>
      </c>
    </row>
    <row r="16" spans="1:4">
      <c r="A16" s="9"/>
      <c r="B16" s="195" t="s">
        <v>66</v>
      </c>
      <c r="C16" s="93"/>
    </row>
    <row r="17" spans="1:4">
      <c r="A17" s="9" t="s">
        <v>23</v>
      </c>
      <c r="B17" s="183">
        <v>5</v>
      </c>
      <c r="C17" s="93">
        <f>B17/7*100</f>
        <v>71.428571428571431</v>
      </c>
      <c r="D17" s="1">
        <f>'Banco (CRÉDITO)'!O17*'Profundidade de Políticas'!B17</f>
        <v>0.15</v>
      </c>
    </row>
    <row r="18" spans="1:4" ht="62">
      <c r="A18" s="9"/>
      <c r="B18" s="190" t="s">
        <v>68</v>
      </c>
      <c r="C18" s="93"/>
    </row>
    <row r="19" spans="1:4">
      <c r="A19" s="9" t="s">
        <v>24</v>
      </c>
      <c r="B19" s="181">
        <v>0</v>
      </c>
      <c r="C19" s="93">
        <f>B19/7*100</f>
        <v>0</v>
      </c>
      <c r="D19" s="1">
        <f>'Banco (CRÉDITO)'!O19*'Profundidade de Políticas'!B19</f>
        <v>0</v>
      </c>
    </row>
    <row r="20" spans="1:4">
      <c r="A20" s="9"/>
      <c r="B20" s="189"/>
      <c r="C20" s="93"/>
      <c r="D20" s="1">
        <f>'Banco (CRÉDITO)'!O20*'Profundidade de Políticas'!B20</f>
        <v>0</v>
      </c>
    </row>
    <row r="21" spans="1:4">
      <c r="A21" s="9" t="s">
        <v>25</v>
      </c>
      <c r="B21" s="183">
        <v>3</v>
      </c>
      <c r="C21" s="93">
        <f>B21/7*100</f>
        <v>42.857142857142854</v>
      </c>
      <c r="D21" s="1">
        <f>'Banco (CRÉDITO)'!O21*'Profundidade de Políticas'!B21</f>
        <v>0.06</v>
      </c>
    </row>
    <row r="22" spans="1:4" ht="62">
      <c r="A22" s="9"/>
      <c r="B22" s="187" t="s">
        <v>69</v>
      </c>
      <c r="C22" s="93"/>
    </row>
    <row r="23" spans="1:4">
      <c r="A23" s="9" t="s">
        <v>26</v>
      </c>
      <c r="B23" s="181">
        <v>0</v>
      </c>
      <c r="C23" s="93">
        <f>B23/7*100</f>
        <v>0</v>
      </c>
      <c r="D23" s="1">
        <f>'Banco (CRÉDITO)'!O23*'Profundidade de Políticas'!B23</f>
        <v>0</v>
      </c>
    </row>
    <row r="24" spans="1:4">
      <c r="A24" s="9"/>
      <c r="B24" s="195" t="s">
        <v>66</v>
      </c>
      <c r="C24" s="93"/>
    </row>
    <row r="25" spans="1:4">
      <c r="A25" s="9" t="s">
        <v>27</v>
      </c>
      <c r="B25" s="183">
        <v>0</v>
      </c>
      <c r="C25" s="93">
        <f>B25/7*100</f>
        <v>0</v>
      </c>
      <c r="D25" s="1">
        <f>'Banco (CRÉDITO)'!O25*'Profundidade de Políticas'!B25</f>
        <v>0</v>
      </c>
    </row>
    <row r="26" spans="1:4">
      <c r="A26" s="9"/>
      <c r="B26" s="192" t="s">
        <v>66</v>
      </c>
      <c r="C26" s="93"/>
    </row>
    <row r="27" spans="1:4">
      <c r="A27" s="9" t="s">
        <v>28</v>
      </c>
      <c r="B27" s="181">
        <v>0</v>
      </c>
      <c r="C27" s="93">
        <f>B27/7*100</f>
        <v>0</v>
      </c>
      <c r="D27" s="1">
        <f>'Banco (CRÉDITO)'!O27*'Profundidade de Políticas'!B27</f>
        <v>0</v>
      </c>
    </row>
    <row r="28" spans="1:4">
      <c r="A28" s="9"/>
      <c r="B28" s="195" t="s">
        <v>66</v>
      </c>
      <c r="C28" s="93"/>
    </row>
    <row r="29" spans="1:4">
      <c r="A29" s="9" t="s">
        <v>29</v>
      </c>
      <c r="B29" s="183">
        <v>4</v>
      </c>
      <c r="C29" s="93">
        <f t="shared" ref="C29:C61" si="0">B29/7*100</f>
        <v>57.142857142857139</v>
      </c>
      <c r="D29" s="1">
        <f>'Banco (CRÉDITO)'!O29*'Profundidade de Políticas'!B29</f>
        <v>0.16</v>
      </c>
    </row>
    <row r="30" spans="1:4" ht="93">
      <c r="A30" s="9"/>
      <c r="B30" s="192" t="s">
        <v>70</v>
      </c>
      <c r="C30" s="93"/>
    </row>
    <row r="31" spans="1:4">
      <c r="A31" s="9" t="s">
        <v>30</v>
      </c>
      <c r="B31" s="196">
        <v>4</v>
      </c>
      <c r="C31" s="93">
        <f t="shared" si="0"/>
        <v>57.142857142857139</v>
      </c>
      <c r="D31" s="1">
        <f>'Banco (CRÉDITO)'!O31*'Profundidade de Políticas'!B31</f>
        <v>0.12</v>
      </c>
    </row>
    <row r="32" spans="1:4" ht="93">
      <c r="A32" s="9"/>
      <c r="B32" s="195" t="s">
        <v>70</v>
      </c>
      <c r="C32" s="93"/>
    </row>
    <row r="33" spans="1:4">
      <c r="A33" s="9" t="s">
        <v>31</v>
      </c>
      <c r="B33" s="197">
        <v>0</v>
      </c>
      <c r="C33" s="93">
        <f t="shared" si="0"/>
        <v>0</v>
      </c>
      <c r="D33" s="1">
        <f>'Banco (CRÉDITO)'!O33*'Profundidade de Políticas'!B33</f>
        <v>0</v>
      </c>
    </row>
    <row r="34" spans="1:4">
      <c r="A34" s="9"/>
      <c r="B34" s="192" t="s">
        <v>66</v>
      </c>
      <c r="C34" s="93"/>
    </row>
    <row r="35" spans="1:4">
      <c r="A35" s="9" t="s">
        <v>32</v>
      </c>
      <c r="B35" s="181">
        <v>0</v>
      </c>
      <c r="C35" s="93">
        <f t="shared" si="0"/>
        <v>0</v>
      </c>
      <c r="D35" s="1">
        <f>'Banco (CRÉDITO)'!O35*'Profundidade de Políticas'!B35</f>
        <v>0</v>
      </c>
    </row>
    <row r="36" spans="1:4">
      <c r="A36" s="9"/>
      <c r="B36" s="195" t="s">
        <v>66</v>
      </c>
      <c r="C36" s="93"/>
    </row>
    <row r="37" spans="1:4">
      <c r="A37" s="9" t="s">
        <v>33</v>
      </c>
      <c r="B37" s="183">
        <v>0</v>
      </c>
      <c r="C37" s="93">
        <f t="shared" si="0"/>
        <v>0</v>
      </c>
      <c r="D37" s="1">
        <f>'Banco (CRÉDITO)'!O37*'Profundidade de Políticas'!B37</f>
        <v>0</v>
      </c>
    </row>
    <row r="38" spans="1:4">
      <c r="A38" s="9"/>
      <c r="B38" s="192" t="s">
        <v>66</v>
      </c>
      <c r="C38" s="93"/>
    </row>
    <row r="39" spans="1:4">
      <c r="A39" s="9" t="s">
        <v>34</v>
      </c>
      <c r="B39" s="181">
        <v>0</v>
      </c>
      <c r="C39" s="93">
        <f t="shared" si="0"/>
        <v>0</v>
      </c>
      <c r="D39" s="1">
        <f>'Banco (CRÉDITO)'!O39*'Profundidade de Políticas'!B39</f>
        <v>0</v>
      </c>
    </row>
    <row r="40" spans="1:4">
      <c r="A40" s="9"/>
      <c r="B40" s="195" t="s">
        <v>66</v>
      </c>
      <c r="C40" s="93"/>
    </row>
    <row r="41" spans="1:4">
      <c r="A41" s="9" t="s">
        <v>35</v>
      </c>
      <c r="B41" s="183">
        <v>0</v>
      </c>
      <c r="C41" s="93">
        <f t="shared" si="0"/>
        <v>0</v>
      </c>
      <c r="D41" s="1">
        <f>'Banco (CRÉDITO)'!O41*'Profundidade de Políticas'!B41</f>
        <v>0</v>
      </c>
    </row>
    <row r="42" spans="1:4">
      <c r="A42" s="9"/>
      <c r="B42" s="192" t="s">
        <v>66</v>
      </c>
      <c r="C42" s="93"/>
    </row>
    <row r="43" spans="1:4">
      <c r="A43" s="9" t="s">
        <v>36</v>
      </c>
      <c r="B43" s="181">
        <v>3</v>
      </c>
      <c r="C43" s="93">
        <f t="shared" si="0"/>
        <v>42.857142857142854</v>
      </c>
      <c r="D43" s="1">
        <f>'Banco (CRÉDITO)'!O43*'Profundidade de Políticas'!B43</f>
        <v>0.12</v>
      </c>
    </row>
    <row r="44" spans="1:4" ht="93">
      <c r="A44" s="9"/>
      <c r="B44" s="189" t="s">
        <v>70</v>
      </c>
      <c r="C44" s="93"/>
    </row>
    <row r="45" spans="1:4">
      <c r="A45" s="9" t="s">
        <v>37</v>
      </c>
      <c r="B45" s="183">
        <v>0</v>
      </c>
      <c r="C45" s="93">
        <f t="shared" si="0"/>
        <v>0</v>
      </c>
      <c r="D45" s="1">
        <f>'Banco (CRÉDITO)'!O45*'Profundidade de Políticas'!B45</f>
        <v>0</v>
      </c>
    </row>
    <row r="46" spans="1:4">
      <c r="A46" s="9"/>
      <c r="B46" s="192" t="s">
        <v>66</v>
      </c>
      <c r="C46" s="93"/>
    </row>
    <row r="47" spans="1:4">
      <c r="A47" s="9" t="s">
        <v>38</v>
      </c>
      <c r="B47" s="181">
        <v>0</v>
      </c>
      <c r="C47" s="93">
        <f t="shared" si="0"/>
        <v>0</v>
      </c>
      <c r="D47" s="1">
        <f>'Banco (CRÉDITO)'!O47*'Profundidade de Políticas'!B47</f>
        <v>0</v>
      </c>
    </row>
    <row r="48" spans="1:4">
      <c r="A48" s="9"/>
      <c r="B48" s="195" t="s">
        <v>66</v>
      </c>
      <c r="C48" s="93"/>
    </row>
    <row r="49" spans="1:4">
      <c r="A49" s="9" t="s">
        <v>39</v>
      </c>
      <c r="B49" s="183">
        <v>0</v>
      </c>
      <c r="C49" s="93">
        <f t="shared" si="0"/>
        <v>0</v>
      </c>
      <c r="D49" s="1">
        <f>'Banco (CRÉDITO)'!O49*'Profundidade de Políticas'!B49</f>
        <v>0</v>
      </c>
    </row>
    <row r="50" spans="1:4">
      <c r="A50" s="9"/>
      <c r="B50" s="192" t="s">
        <v>66</v>
      </c>
      <c r="C50" s="93"/>
    </row>
    <row r="51" spans="1:4">
      <c r="A51" s="9" t="s">
        <v>40</v>
      </c>
      <c r="B51" s="181">
        <v>3</v>
      </c>
      <c r="C51" s="93">
        <f t="shared" si="0"/>
        <v>42.857142857142854</v>
      </c>
      <c r="D51" s="1">
        <f>'Banco (CRÉDITO)'!O51*'Profundidade de Políticas'!B51</f>
        <v>0.09</v>
      </c>
    </row>
    <row r="52" spans="1:4" ht="93">
      <c r="A52" s="9"/>
      <c r="B52" s="189" t="s">
        <v>71</v>
      </c>
      <c r="C52" s="93"/>
    </row>
    <row r="53" spans="1:4">
      <c r="A53" s="9" t="s">
        <v>41</v>
      </c>
      <c r="B53" s="183">
        <v>0</v>
      </c>
      <c r="C53" s="93">
        <f t="shared" si="0"/>
        <v>0</v>
      </c>
      <c r="D53" s="1">
        <f>'Banco (CRÉDITO)'!O53*'Profundidade de Políticas'!B53</f>
        <v>0</v>
      </c>
    </row>
    <row r="54" spans="1:4">
      <c r="A54" s="9"/>
      <c r="B54" s="192" t="s">
        <v>66</v>
      </c>
      <c r="C54" s="93"/>
    </row>
    <row r="55" spans="1:4">
      <c r="A55" s="9" t="s">
        <v>42</v>
      </c>
      <c r="B55" s="181">
        <v>0</v>
      </c>
      <c r="C55" s="93">
        <f t="shared" si="0"/>
        <v>0</v>
      </c>
      <c r="D55" s="1">
        <f>'Banco (CRÉDITO)'!O55*'Profundidade de Políticas'!B55</f>
        <v>0</v>
      </c>
    </row>
    <row r="56" spans="1:4">
      <c r="A56" s="9"/>
      <c r="B56" s="195" t="s">
        <v>66</v>
      </c>
      <c r="C56" s="93"/>
    </row>
    <row r="57" spans="1:4">
      <c r="A57" s="9" t="s">
        <v>43</v>
      </c>
      <c r="B57" s="183">
        <v>0</v>
      </c>
      <c r="C57" s="93">
        <f t="shared" si="0"/>
        <v>0</v>
      </c>
      <c r="D57" s="1">
        <f>'Banco (CRÉDITO)'!O57*'Profundidade de Políticas'!B57</f>
        <v>0</v>
      </c>
    </row>
    <row r="58" spans="1:4">
      <c r="A58" s="9"/>
      <c r="B58" s="192" t="s">
        <v>66</v>
      </c>
      <c r="C58" s="93"/>
    </row>
    <row r="59" spans="1:4">
      <c r="A59" s="9" t="s">
        <v>44</v>
      </c>
      <c r="B59" s="181">
        <v>0</v>
      </c>
      <c r="C59" s="93">
        <f t="shared" si="0"/>
        <v>0</v>
      </c>
      <c r="D59" s="1">
        <f>'Banco (CRÉDITO)'!O59*'Profundidade de Políticas'!B59</f>
        <v>0</v>
      </c>
    </row>
    <row r="60" spans="1:4">
      <c r="A60" s="9"/>
      <c r="B60" s="195" t="s">
        <v>66</v>
      </c>
      <c r="C60" s="93"/>
    </row>
    <row r="61" spans="1:4">
      <c r="A61" s="9" t="s">
        <v>45</v>
      </c>
      <c r="B61" s="183">
        <v>0</v>
      </c>
      <c r="C61" s="93">
        <f t="shared" si="0"/>
        <v>0</v>
      </c>
      <c r="D61" s="1">
        <f>'Banco (CRÉDITO)'!O61*'Profundidade de Políticas'!B61</f>
        <v>0</v>
      </c>
    </row>
    <row r="62" spans="1:4">
      <c r="A62" s="9"/>
      <c r="B62" s="192" t="s">
        <v>66</v>
      </c>
      <c r="C62" s="93"/>
    </row>
    <row r="63" spans="1:4">
      <c r="A63" s="1" t="s">
        <v>13</v>
      </c>
      <c r="B63" s="88">
        <f>SUM(B3:B62)/30</f>
        <v>0.96666666666666667</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FFB1-E1F4-BD4A-9601-5E27F0447EE9}">
  <dimension ref="A1:R88"/>
  <sheetViews>
    <sheetView topLeftCell="A42" zoomScale="60" zoomScaleNormal="60" workbookViewId="0">
      <pane xSplit="1" topLeftCell="B1" activePane="topRight" state="frozen"/>
      <selection pane="topRight" activeCell="J89" sqref="J89"/>
    </sheetView>
  </sheetViews>
  <sheetFormatPr defaultColWidth="10.83203125" defaultRowHeight="15.5"/>
  <cols>
    <col min="1" max="1" width="84.08203125" style="27" customWidth="1"/>
    <col min="2" max="2" width="21.08203125" style="27" customWidth="1"/>
    <col min="3" max="3" width="8.08203125" style="27" customWidth="1"/>
    <col min="4" max="5" width="25.75" style="27" customWidth="1"/>
    <col min="6" max="6" width="46.83203125" style="27" customWidth="1"/>
    <col min="7" max="7" width="8.58203125" style="27" customWidth="1"/>
    <col min="8" max="8" width="27.33203125" style="27" customWidth="1"/>
    <col min="9" max="9" width="9.33203125" style="27" customWidth="1"/>
    <col min="10" max="10" width="15.08203125" style="27" customWidth="1"/>
    <col min="11" max="11" width="15.33203125" style="27" customWidth="1"/>
    <col min="12" max="12" width="15.5" style="27" customWidth="1"/>
    <col min="13" max="16384" width="10.83203125" style="27"/>
  </cols>
  <sheetData>
    <row r="1" spans="1:18" ht="16" customHeight="1">
      <c r="A1" s="25"/>
      <c r="B1" s="226" t="s">
        <v>72</v>
      </c>
      <c r="C1" s="226"/>
      <c r="D1" s="226"/>
      <c r="E1" s="226"/>
      <c r="F1" s="226"/>
      <c r="G1" s="226"/>
      <c r="H1" s="226"/>
      <c r="I1" s="226"/>
      <c r="J1" s="25"/>
      <c r="K1" s="25"/>
      <c r="L1" s="25"/>
      <c r="M1" s="54"/>
      <c r="N1" s="54"/>
      <c r="O1" s="54"/>
      <c r="P1" s="54"/>
      <c r="Q1" s="54"/>
      <c r="R1" s="54"/>
    </row>
    <row r="2" spans="1:18">
      <c r="A2" s="221" t="s">
        <v>73</v>
      </c>
      <c r="B2" s="222" t="s">
        <v>74</v>
      </c>
      <c r="C2" s="223" t="s">
        <v>75</v>
      </c>
      <c r="D2" s="224" t="s">
        <v>76</v>
      </c>
      <c r="E2" s="225" t="s">
        <v>75</v>
      </c>
      <c r="F2" s="222" t="s">
        <v>77</v>
      </c>
      <c r="G2" s="222" t="s">
        <v>75</v>
      </c>
      <c r="H2" s="224" t="s">
        <v>78</v>
      </c>
      <c r="I2" s="224" t="s">
        <v>75</v>
      </c>
      <c r="J2" s="53"/>
      <c r="K2" s="52"/>
      <c r="L2" s="52"/>
    </row>
    <row r="3" spans="1:18">
      <c r="A3" s="221"/>
      <c r="B3" s="223"/>
      <c r="C3" s="223"/>
      <c r="D3" s="225"/>
      <c r="E3" s="225"/>
      <c r="F3" s="222"/>
      <c r="G3" s="222"/>
      <c r="H3" s="225"/>
      <c r="I3" s="224"/>
      <c r="J3" s="53"/>
      <c r="K3" s="52"/>
      <c r="L3" s="52"/>
    </row>
    <row r="4" spans="1:18">
      <c r="A4" s="221"/>
      <c r="B4" s="223"/>
      <c r="C4" s="223"/>
      <c r="D4" s="225"/>
      <c r="E4" s="225"/>
      <c r="F4" s="222"/>
      <c r="G4" s="222"/>
      <c r="H4" s="225"/>
      <c r="I4" s="224"/>
      <c r="J4" s="53"/>
      <c r="K4" s="52"/>
      <c r="L4" s="52"/>
    </row>
    <row r="5" spans="1:18" ht="84" customHeight="1">
      <c r="A5" s="221"/>
      <c r="B5" s="223"/>
      <c r="C5" s="223"/>
      <c r="D5" s="225"/>
      <c r="E5" s="225"/>
      <c r="F5" s="227"/>
      <c r="G5" s="222"/>
      <c r="H5" s="225"/>
      <c r="I5" s="224"/>
      <c r="J5" s="53"/>
      <c r="K5" s="52"/>
      <c r="L5" s="52"/>
    </row>
    <row r="6" spans="1:18">
      <c r="A6" s="46" t="s">
        <v>79</v>
      </c>
      <c r="B6" s="37">
        <v>0</v>
      </c>
      <c r="C6" s="47">
        <v>0.05</v>
      </c>
      <c r="D6" s="37">
        <v>0</v>
      </c>
      <c r="E6" s="47">
        <v>0.04</v>
      </c>
      <c r="F6" s="37">
        <v>0</v>
      </c>
      <c r="G6" s="47">
        <v>0.04</v>
      </c>
      <c r="H6" s="37">
        <v>4</v>
      </c>
      <c r="I6" s="47">
        <v>0.02</v>
      </c>
      <c r="K6" s="33"/>
    </row>
    <row r="7" spans="1:18" ht="136.5" customHeight="1">
      <c r="A7" s="45"/>
      <c r="B7" s="126"/>
      <c r="C7" s="47"/>
      <c r="D7" s="126"/>
      <c r="E7" s="48"/>
      <c r="F7" s="126"/>
      <c r="G7" s="48"/>
      <c r="H7" s="175" t="s">
        <v>80</v>
      </c>
      <c r="I7" s="37"/>
    </row>
    <row r="8" spans="1:18" ht="31">
      <c r="A8" s="46" t="s">
        <v>81</v>
      </c>
      <c r="B8" s="38">
        <v>0</v>
      </c>
      <c r="C8" s="49">
        <v>0.03</v>
      </c>
      <c r="D8" s="38">
        <v>0</v>
      </c>
      <c r="E8" s="50">
        <v>3.5000000000000003E-2</v>
      </c>
      <c r="F8" s="38">
        <v>0</v>
      </c>
      <c r="G8" s="50">
        <v>3.5000000000000003E-2</v>
      </c>
      <c r="H8" s="38">
        <v>0</v>
      </c>
      <c r="I8" s="49">
        <v>0.02</v>
      </c>
      <c r="K8" s="51"/>
    </row>
    <row r="9" spans="1:18">
      <c r="A9" s="45"/>
      <c r="B9" s="38"/>
      <c r="C9" s="38"/>
      <c r="D9" s="38"/>
      <c r="E9" s="38"/>
      <c r="F9" s="38"/>
      <c r="G9" s="38"/>
      <c r="H9" s="38"/>
      <c r="I9" s="38"/>
    </row>
    <row r="10" spans="1:18">
      <c r="A10" s="46" t="s">
        <v>82</v>
      </c>
      <c r="B10" s="37"/>
      <c r="C10" s="47">
        <v>0.05</v>
      </c>
      <c r="D10" s="37">
        <v>0</v>
      </c>
      <c r="E10" s="47">
        <v>0.04</v>
      </c>
      <c r="F10" s="37">
        <v>0</v>
      </c>
      <c r="G10" s="47">
        <v>0.04</v>
      </c>
      <c r="H10" s="37">
        <v>0</v>
      </c>
      <c r="I10" s="47">
        <v>0.02</v>
      </c>
      <c r="K10" s="51"/>
    </row>
    <row r="11" spans="1:18">
      <c r="A11" s="45"/>
      <c r="B11" s="37"/>
      <c r="C11" s="37"/>
      <c r="D11" s="37"/>
      <c r="E11" s="37"/>
      <c r="F11" s="37"/>
      <c r="G11" s="37"/>
      <c r="H11" s="37"/>
      <c r="I11" s="37"/>
    </row>
    <row r="12" spans="1:18">
      <c r="A12" s="46" t="s">
        <v>83</v>
      </c>
      <c r="B12" s="38">
        <v>0</v>
      </c>
      <c r="C12" s="49">
        <v>0.04</v>
      </c>
      <c r="D12" s="38">
        <v>0</v>
      </c>
      <c r="E12" s="49">
        <v>0.03</v>
      </c>
      <c r="F12" s="38">
        <v>0</v>
      </c>
      <c r="G12" s="49">
        <v>0.03</v>
      </c>
      <c r="H12" s="38">
        <v>0</v>
      </c>
      <c r="I12" s="58">
        <v>1.4999999999999999E-2</v>
      </c>
      <c r="K12" s="43"/>
    </row>
    <row r="13" spans="1:18">
      <c r="A13" s="46"/>
      <c r="B13" s="38"/>
      <c r="C13" s="38"/>
      <c r="D13" s="38"/>
      <c r="E13" s="38"/>
      <c r="F13" s="38"/>
      <c r="G13" s="38"/>
      <c r="H13" s="38"/>
      <c r="I13" s="38"/>
      <c r="K13" s="52"/>
    </row>
    <row r="14" spans="1:18">
      <c r="A14" s="46" t="s">
        <v>84</v>
      </c>
      <c r="B14" s="37">
        <v>0</v>
      </c>
      <c r="C14" s="47">
        <v>0.05</v>
      </c>
      <c r="D14" s="37">
        <v>0</v>
      </c>
      <c r="E14" s="47">
        <v>0.05</v>
      </c>
      <c r="F14" s="37">
        <v>0</v>
      </c>
      <c r="G14" s="47">
        <v>0.05</v>
      </c>
      <c r="H14" s="37">
        <v>0</v>
      </c>
      <c r="I14" s="47">
        <v>0</v>
      </c>
      <c r="K14" s="43"/>
    </row>
    <row r="15" spans="1:18">
      <c r="A15" s="46"/>
      <c r="B15" s="37"/>
      <c r="C15" s="37"/>
      <c r="D15" s="111"/>
      <c r="E15" s="37"/>
      <c r="F15" s="37"/>
      <c r="G15" s="37"/>
      <c r="H15" s="37"/>
      <c r="I15" s="37"/>
      <c r="K15" s="52"/>
    </row>
    <row r="16" spans="1:18" ht="31">
      <c r="A16" s="46" t="s">
        <v>85</v>
      </c>
      <c r="B16" s="38">
        <v>0</v>
      </c>
      <c r="C16" s="49">
        <v>0.05</v>
      </c>
      <c r="D16" s="38">
        <v>0</v>
      </c>
      <c r="E16" s="49">
        <v>0.05</v>
      </c>
      <c r="F16" s="38">
        <v>0</v>
      </c>
      <c r="G16" s="49">
        <v>0.05</v>
      </c>
      <c r="H16" s="38">
        <v>0</v>
      </c>
      <c r="I16" s="49">
        <v>0.02</v>
      </c>
      <c r="K16" s="43"/>
    </row>
    <row r="17" spans="1:11">
      <c r="A17" s="46"/>
      <c r="B17" s="38"/>
      <c r="C17" s="38"/>
      <c r="D17" s="38"/>
      <c r="E17" s="38"/>
      <c r="F17" s="38"/>
      <c r="G17" s="38"/>
      <c r="H17" s="38"/>
      <c r="I17" s="38"/>
      <c r="K17" s="52"/>
    </row>
    <row r="18" spans="1:11">
      <c r="A18" s="39" t="s">
        <v>86</v>
      </c>
      <c r="B18" s="37">
        <v>0</v>
      </c>
      <c r="C18" s="47">
        <v>0.03</v>
      </c>
      <c r="D18" s="37">
        <v>0</v>
      </c>
      <c r="E18" s="47">
        <v>0.04</v>
      </c>
      <c r="F18" s="37">
        <v>0</v>
      </c>
      <c r="G18" s="47">
        <v>0.04</v>
      </c>
      <c r="H18" s="37">
        <v>0</v>
      </c>
      <c r="I18" s="59">
        <v>1.4999999999999999E-2</v>
      </c>
      <c r="K18" s="43"/>
    </row>
    <row r="19" spans="1:11">
      <c r="A19" s="45"/>
      <c r="B19" s="37"/>
      <c r="C19" s="37"/>
      <c r="D19" s="37"/>
      <c r="E19" s="37"/>
      <c r="F19" s="37"/>
      <c r="G19" s="37"/>
      <c r="H19" s="37"/>
      <c r="I19" s="37"/>
    </row>
    <row r="20" spans="1:11">
      <c r="A20" s="39" t="s">
        <v>87</v>
      </c>
      <c r="B20" s="38">
        <v>0</v>
      </c>
      <c r="C20" s="49">
        <v>0.03</v>
      </c>
      <c r="D20" s="38">
        <v>6</v>
      </c>
      <c r="E20" s="49">
        <v>0.03</v>
      </c>
      <c r="F20" s="38">
        <v>8</v>
      </c>
      <c r="G20" s="49">
        <v>0.03</v>
      </c>
      <c r="H20" s="38">
        <v>0</v>
      </c>
      <c r="I20" s="49">
        <v>0</v>
      </c>
      <c r="K20" s="43"/>
    </row>
    <row r="21" spans="1:11" ht="142" customHeight="1">
      <c r="A21" s="45"/>
      <c r="B21" s="38"/>
      <c r="C21" s="38"/>
      <c r="D21" s="105"/>
      <c r="E21" s="38"/>
      <c r="F21" s="105" t="s">
        <v>88</v>
      </c>
      <c r="G21" s="38"/>
      <c r="H21" s="38"/>
      <c r="I21" s="38"/>
    </row>
    <row r="22" spans="1:11">
      <c r="A22" s="39" t="s">
        <v>89</v>
      </c>
      <c r="B22" s="37">
        <v>0</v>
      </c>
      <c r="C22" s="47">
        <v>0.03</v>
      </c>
      <c r="D22" s="37">
        <v>0</v>
      </c>
      <c r="E22" s="48">
        <v>2.5000000000000001E-2</v>
      </c>
      <c r="F22" s="37">
        <v>0</v>
      </c>
      <c r="G22" s="48">
        <v>2.5000000000000001E-2</v>
      </c>
      <c r="H22" s="37">
        <v>0</v>
      </c>
      <c r="I22" s="47">
        <v>0</v>
      </c>
      <c r="K22" s="51"/>
    </row>
    <row r="23" spans="1:11">
      <c r="A23" s="36"/>
      <c r="B23" s="37"/>
      <c r="C23" s="37"/>
      <c r="D23" s="37"/>
      <c r="E23" s="37"/>
      <c r="F23" s="37"/>
      <c r="G23" s="37"/>
      <c r="H23" s="37"/>
      <c r="I23" s="37"/>
    </row>
    <row r="24" spans="1:11">
      <c r="A24" s="39" t="s">
        <v>90</v>
      </c>
      <c r="B24" s="38">
        <v>0</v>
      </c>
      <c r="C24" s="49">
        <v>0.03</v>
      </c>
      <c r="D24" s="38">
        <v>0</v>
      </c>
      <c r="E24" s="50">
        <v>3.5000000000000003E-2</v>
      </c>
      <c r="F24" s="38">
        <v>0</v>
      </c>
      <c r="G24" s="50">
        <v>3.5000000000000003E-2</v>
      </c>
      <c r="H24" s="38">
        <v>0</v>
      </c>
      <c r="I24" s="49">
        <v>0.02</v>
      </c>
      <c r="K24" s="43"/>
    </row>
    <row r="25" spans="1:11">
      <c r="A25" s="36"/>
      <c r="B25" s="108"/>
      <c r="C25" s="38"/>
      <c r="D25" s="38"/>
      <c r="E25" s="38"/>
      <c r="F25" s="38"/>
      <c r="G25" s="38"/>
      <c r="H25" s="38"/>
      <c r="I25" s="38"/>
      <c r="K25" s="52"/>
    </row>
    <row r="26" spans="1:11">
      <c r="A26" s="36" t="s">
        <v>91</v>
      </c>
      <c r="B26" s="37">
        <v>0</v>
      </c>
      <c r="C26" s="47">
        <v>0.03</v>
      </c>
      <c r="D26" s="37">
        <v>0</v>
      </c>
      <c r="E26" s="48">
        <v>3.5000000000000003E-2</v>
      </c>
      <c r="F26" s="37">
        <v>0</v>
      </c>
      <c r="G26" s="48">
        <v>3.5000000000000003E-2</v>
      </c>
      <c r="H26" s="37">
        <v>0</v>
      </c>
      <c r="I26" s="47">
        <v>0.02</v>
      </c>
      <c r="K26" s="43"/>
    </row>
    <row r="27" spans="1:11">
      <c r="A27" s="36"/>
      <c r="B27" s="107"/>
      <c r="C27" s="37"/>
      <c r="D27" s="108"/>
      <c r="E27" s="37"/>
      <c r="F27" s="37"/>
      <c r="G27" s="37"/>
      <c r="H27" s="37"/>
      <c r="I27" s="37"/>
      <c r="K27" s="52"/>
    </row>
    <row r="28" spans="1:11">
      <c r="A28" s="39" t="s">
        <v>92</v>
      </c>
      <c r="B28" s="38">
        <v>0</v>
      </c>
      <c r="C28" s="49">
        <v>0.02</v>
      </c>
      <c r="D28" s="38">
        <v>0</v>
      </c>
      <c r="E28" s="50">
        <v>1.4999999999999999E-2</v>
      </c>
      <c r="F28" s="38">
        <v>0</v>
      </c>
      <c r="G28" s="50">
        <v>1.4999999999999999E-2</v>
      </c>
      <c r="H28" s="38">
        <v>0</v>
      </c>
      <c r="I28" s="49">
        <v>0.02</v>
      </c>
      <c r="K28" s="43"/>
    </row>
    <row r="29" spans="1:11">
      <c r="A29" s="36"/>
      <c r="B29" s="38"/>
      <c r="C29" s="38"/>
      <c r="D29" s="38"/>
      <c r="E29" s="38"/>
      <c r="F29" s="38"/>
      <c r="G29" s="38"/>
      <c r="H29" s="38"/>
      <c r="I29" s="38"/>
      <c r="K29" s="52"/>
    </row>
    <row r="30" spans="1:11">
      <c r="A30" s="39" t="s">
        <v>93</v>
      </c>
      <c r="B30" s="37">
        <v>0</v>
      </c>
      <c r="C30" s="48">
        <v>2.5000000000000001E-2</v>
      </c>
      <c r="D30" s="37">
        <v>0</v>
      </c>
      <c r="E30" s="47">
        <v>0.02</v>
      </c>
      <c r="F30" s="37">
        <v>0</v>
      </c>
      <c r="G30" s="47">
        <v>0.02</v>
      </c>
      <c r="H30" s="37">
        <v>0</v>
      </c>
      <c r="I30" s="47">
        <v>0.02</v>
      </c>
      <c r="K30" s="43"/>
    </row>
    <row r="31" spans="1:11">
      <c r="A31" s="36"/>
      <c r="B31" s="37"/>
      <c r="C31" s="37"/>
      <c r="D31" s="37"/>
      <c r="E31" s="37"/>
      <c r="F31" s="37"/>
      <c r="G31" s="37"/>
      <c r="H31" s="37"/>
      <c r="I31" s="37"/>
    </row>
    <row r="32" spans="1:11">
      <c r="A32" s="39" t="s">
        <v>94</v>
      </c>
      <c r="B32" s="38">
        <v>0</v>
      </c>
      <c r="C32" s="49">
        <v>0.03</v>
      </c>
      <c r="D32" s="38">
        <v>0</v>
      </c>
      <c r="E32" s="50">
        <v>2.5000000000000001E-2</v>
      </c>
      <c r="F32" s="38">
        <v>0</v>
      </c>
      <c r="G32" s="50">
        <v>2.5000000000000001E-2</v>
      </c>
      <c r="H32" s="38">
        <v>0</v>
      </c>
      <c r="I32" s="49">
        <v>0.02</v>
      </c>
      <c r="K32" s="43"/>
    </row>
    <row r="33" spans="1:11">
      <c r="A33" s="36"/>
      <c r="B33" s="38"/>
      <c r="C33" s="38"/>
      <c r="D33" s="38"/>
      <c r="E33" s="38"/>
      <c r="F33" s="38"/>
      <c r="G33" s="38"/>
      <c r="H33" s="38"/>
      <c r="I33" s="38"/>
    </row>
    <row r="34" spans="1:11">
      <c r="A34" s="36" t="s">
        <v>95</v>
      </c>
      <c r="B34" s="37">
        <v>0</v>
      </c>
      <c r="C34" s="47">
        <v>0.03</v>
      </c>
      <c r="D34" s="37">
        <v>0</v>
      </c>
      <c r="E34" s="47">
        <v>0.02</v>
      </c>
      <c r="F34" s="37">
        <v>0</v>
      </c>
      <c r="G34" s="47">
        <v>0.02</v>
      </c>
      <c r="H34" s="37">
        <v>0</v>
      </c>
      <c r="I34" s="47">
        <v>0.02</v>
      </c>
      <c r="K34" s="43"/>
    </row>
    <row r="35" spans="1:11">
      <c r="A35" s="36"/>
      <c r="B35" s="37"/>
      <c r="C35" s="37"/>
      <c r="D35" s="37"/>
      <c r="E35" s="37"/>
      <c r="F35" s="37"/>
      <c r="G35" s="37"/>
      <c r="H35" s="37"/>
      <c r="I35" s="37"/>
    </row>
    <row r="36" spans="1:11">
      <c r="A36" s="39" t="s">
        <v>96</v>
      </c>
      <c r="B36" s="38">
        <v>0</v>
      </c>
      <c r="C36" s="49">
        <v>0.03</v>
      </c>
      <c r="D36" s="38">
        <v>0</v>
      </c>
      <c r="E36" s="49">
        <v>0.02</v>
      </c>
      <c r="F36" s="38">
        <v>8</v>
      </c>
      <c r="G36" s="49">
        <v>0.02</v>
      </c>
      <c r="H36" s="38">
        <v>0</v>
      </c>
      <c r="I36" s="49">
        <v>0.01</v>
      </c>
      <c r="K36" s="43"/>
    </row>
    <row r="37" spans="1:11" ht="65">
      <c r="A37" s="36"/>
      <c r="B37" s="38"/>
      <c r="C37" s="38"/>
      <c r="D37" s="124"/>
      <c r="E37" s="38"/>
      <c r="F37" s="124" t="s">
        <v>97</v>
      </c>
      <c r="G37" s="38"/>
      <c r="H37" s="38"/>
      <c r="I37" s="38"/>
      <c r="K37" s="33"/>
    </row>
    <row r="38" spans="1:11">
      <c r="A38" s="39" t="s">
        <v>98</v>
      </c>
      <c r="B38" s="37">
        <v>0</v>
      </c>
      <c r="C38" s="47">
        <v>0.05</v>
      </c>
      <c r="D38" s="37">
        <v>0</v>
      </c>
      <c r="E38" s="47">
        <v>0.05</v>
      </c>
      <c r="F38" s="37">
        <v>0</v>
      </c>
      <c r="G38" s="47">
        <v>0.05</v>
      </c>
      <c r="H38" s="37">
        <v>0</v>
      </c>
      <c r="I38" s="47">
        <v>0.02</v>
      </c>
      <c r="K38" s="33"/>
    </row>
    <row r="39" spans="1:11">
      <c r="A39" s="36"/>
      <c r="B39" s="37"/>
      <c r="C39" s="37"/>
      <c r="D39" s="37"/>
      <c r="E39" s="37"/>
      <c r="F39" s="37"/>
      <c r="G39" s="37"/>
      <c r="H39" s="37"/>
      <c r="I39" s="37"/>
    </row>
    <row r="40" spans="1:11">
      <c r="A40" s="39" t="s">
        <v>99</v>
      </c>
      <c r="B40" s="38">
        <v>0</v>
      </c>
      <c r="C40" s="49">
        <v>0.03</v>
      </c>
      <c r="D40" s="38">
        <v>0</v>
      </c>
      <c r="E40" s="49">
        <v>0.03</v>
      </c>
      <c r="F40" s="38">
        <v>0</v>
      </c>
      <c r="G40" s="49">
        <v>0.03</v>
      </c>
      <c r="H40" s="38">
        <v>0</v>
      </c>
      <c r="I40" s="49">
        <v>0.02</v>
      </c>
      <c r="K40" s="51"/>
    </row>
    <row r="41" spans="1:11">
      <c r="A41" s="36"/>
      <c r="B41" s="38"/>
      <c r="C41" s="38"/>
      <c r="D41" s="38"/>
      <c r="E41" s="38"/>
      <c r="F41" s="38"/>
      <c r="G41" s="38"/>
      <c r="H41" s="38"/>
      <c r="I41" s="38"/>
    </row>
    <row r="42" spans="1:11">
      <c r="A42" s="39" t="s">
        <v>100</v>
      </c>
      <c r="B42" s="37">
        <v>0</v>
      </c>
      <c r="C42" s="47">
        <v>0.02</v>
      </c>
      <c r="D42" s="37">
        <v>0</v>
      </c>
      <c r="E42" s="47">
        <v>0.02</v>
      </c>
      <c r="F42" s="37">
        <v>0</v>
      </c>
      <c r="G42" s="47">
        <v>0.02</v>
      </c>
      <c r="H42" s="37">
        <v>0</v>
      </c>
      <c r="I42" s="47">
        <v>0.02</v>
      </c>
      <c r="K42" s="51"/>
    </row>
    <row r="43" spans="1:11">
      <c r="A43" s="36"/>
      <c r="B43" s="37"/>
      <c r="C43" s="37"/>
      <c r="D43" s="37"/>
      <c r="E43" s="37"/>
      <c r="F43" s="37"/>
      <c r="G43" s="37"/>
      <c r="H43" s="37"/>
      <c r="I43" s="37"/>
    </row>
    <row r="44" spans="1:11">
      <c r="A44" s="39" t="s">
        <v>101</v>
      </c>
      <c r="B44" s="38">
        <v>0</v>
      </c>
      <c r="C44" s="49">
        <v>0.02</v>
      </c>
      <c r="D44" s="38">
        <v>0</v>
      </c>
      <c r="E44" s="49">
        <v>0.02</v>
      </c>
      <c r="F44" s="38">
        <v>0</v>
      </c>
      <c r="G44" s="49">
        <v>0.02</v>
      </c>
      <c r="H44" s="38">
        <v>0</v>
      </c>
      <c r="I44" s="49">
        <v>0.02</v>
      </c>
      <c r="K44" s="43"/>
    </row>
    <row r="45" spans="1:11">
      <c r="A45" s="36"/>
      <c r="B45" s="38"/>
      <c r="C45" s="38"/>
      <c r="D45" s="38"/>
      <c r="E45" s="38"/>
      <c r="F45" s="38"/>
      <c r="G45" s="38"/>
      <c r="H45" s="38"/>
      <c r="I45" s="38"/>
      <c r="K45" s="52"/>
    </row>
    <row r="46" spans="1:11">
      <c r="A46" s="39" t="s">
        <v>102</v>
      </c>
      <c r="B46" s="37">
        <v>0</v>
      </c>
      <c r="C46" s="47">
        <v>0.02</v>
      </c>
      <c r="D46" s="37">
        <v>0</v>
      </c>
      <c r="E46" s="47">
        <v>0.02</v>
      </c>
      <c r="F46" s="37">
        <v>0</v>
      </c>
      <c r="G46" s="47">
        <v>0.02</v>
      </c>
      <c r="H46" s="37">
        <v>0</v>
      </c>
      <c r="I46" s="47">
        <v>0.02</v>
      </c>
      <c r="K46" s="43"/>
    </row>
    <row r="47" spans="1:11">
      <c r="A47" s="36"/>
      <c r="B47" s="37"/>
      <c r="C47" s="37"/>
      <c r="D47" s="37"/>
      <c r="E47" s="37"/>
      <c r="F47" s="37"/>
      <c r="G47" s="37"/>
      <c r="H47" s="37"/>
      <c r="I47" s="37"/>
      <c r="K47" s="52"/>
    </row>
    <row r="48" spans="1:11">
      <c r="A48" s="39" t="s">
        <v>103</v>
      </c>
      <c r="B48" s="38">
        <v>0</v>
      </c>
      <c r="C48" s="50">
        <v>2.5000000000000001E-2</v>
      </c>
      <c r="D48" s="38">
        <v>0</v>
      </c>
      <c r="E48" s="49">
        <v>0.02</v>
      </c>
      <c r="F48" s="38">
        <v>0</v>
      </c>
      <c r="G48" s="49">
        <v>0.02</v>
      </c>
      <c r="H48" s="38">
        <v>0</v>
      </c>
      <c r="I48" s="49">
        <v>0.02</v>
      </c>
      <c r="K48" s="43"/>
    </row>
    <row r="49" spans="1:11">
      <c r="A49" s="39"/>
      <c r="B49" s="38"/>
      <c r="C49" s="38"/>
      <c r="D49" s="38"/>
      <c r="E49" s="38"/>
      <c r="F49" s="38"/>
      <c r="G49" s="38"/>
      <c r="H49" s="38"/>
      <c r="I49" s="38"/>
      <c r="K49" s="52"/>
    </row>
    <row r="50" spans="1:11">
      <c r="A50" s="39" t="s">
        <v>104</v>
      </c>
      <c r="B50" s="37">
        <v>0</v>
      </c>
      <c r="C50" s="47">
        <v>0.02</v>
      </c>
      <c r="D50" s="37">
        <v>0</v>
      </c>
      <c r="E50" s="47">
        <v>0.02</v>
      </c>
      <c r="F50" s="37">
        <v>0</v>
      </c>
      <c r="G50" s="47">
        <v>0.02</v>
      </c>
      <c r="H50" s="37">
        <v>0</v>
      </c>
      <c r="I50" s="47">
        <v>0.02</v>
      </c>
      <c r="K50" s="43"/>
    </row>
    <row r="51" spans="1:11">
      <c r="A51" s="36"/>
      <c r="B51" s="37"/>
      <c r="C51" s="37"/>
      <c r="D51" s="37"/>
      <c r="E51" s="37"/>
      <c r="F51" s="37"/>
      <c r="G51" s="37"/>
      <c r="H51" s="37"/>
      <c r="I51" s="37"/>
    </row>
    <row r="52" spans="1:11">
      <c r="A52" s="39" t="s">
        <v>105</v>
      </c>
      <c r="B52" s="38">
        <v>0</v>
      </c>
      <c r="C52" s="49">
        <v>0.02</v>
      </c>
      <c r="D52" s="38">
        <v>0</v>
      </c>
      <c r="E52" s="49">
        <v>0.02</v>
      </c>
      <c r="F52" s="38">
        <v>0</v>
      </c>
      <c r="G52" s="49">
        <v>0.02</v>
      </c>
      <c r="H52" s="38">
        <v>0</v>
      </c>
      <c r="I52" s="49">
        <v>0.05</v>
      </c>
      <c r="K52" s="43"/>
    </row>
    <row r="53" spans="1:11">
      <c r="A53" s="36"/>
      <c r="B53" s="107"/>
      <c r="C53" s="38"/>
      <c r="D53" s="38"/>
      <c r="E53" s="38"/>
      <c r="F53" s="38"/>
      <c r="G53" s="38"/>
      <c r="H53" s="38"/>
      <c r="I53" s="38"/>
    </row>
    <row r="54" spans="1:11">
      <c r="A54" s="39" t="s">
        <v>106</v>
      </c>
      <c r="B54" s="37">
        <v>0</v>
      </c>
      <c r="C54" s="47">
        <v>0.02</v>
      </c>
      <c r="D54" s="37">
        <v>0</v>
      </c>
      <c r="E54" s="47">
        <v>0.02</v>
      </c>
      <c r="F54" s="37">
        <v>0</v>
      </c>
      <c r="G54" s="47">
        <v>0.02</v>
      </c>
      <c r="H54" s="37">
        <v>0</v>
      </c>
      <c r="I54" s="47">
        <v>0.03</v>
      </c>
      <c r="K54" s="43"/>
    </row>
    <row r="55" spans="1:11">
      <c r="A55" s="36"/>
      <c r="B55" s="37"/>
      <c r="C55" s="37"/>
      <c r="D55" s="37"/>
      <c r="E55" s="37"/>
      <c r="F55" s="37"/>
      <c r="G55" s="37"/>
      <c r="H55" s="37"/>
      <c r="I55" s="37"/>
    </row>
    <row r="56" spans="1:11">
      <c r="A56" s="39" t="s">
        <v>107</v>
      </c>
      <c r="B56" s="38">
        <v>0</v>
      </c>
      <c r="C56" s="49">
        <v>0.02</v>
      </c>
      <c r="D56" s="38">
        <v>0</v>
      </c>
      <c r="E56" s="49">
        <v>0.02</v>
      </c>
      <c r="F56" s="38">
        <v>0</v>
      </c>
      <c r="G56" s="49">
        <v>0.02</v>
      </c>
      <c r="H56" s="38">
        <v>0</v>
      </c>
      <c r="I56" s="49">
        <v>0.03</v>
      </c>
      <c r="K56" s="43"/>
    </row>
    <row r="57" spans="1:11">
      <c r="A57" s="167"/>
      <c r="B57" s="38"/>
      <c r="C57" s="38"/>
      <c r="D57" s="38"/>
      <c r="E57" s="38"/>
      <c r="F57" s="38"/>
      <c r="G57" s="38"/>
      <c r="H57" s="38"/>
      <c r="I57" s="38"/>
      <c r="K57" s="33"/>
    </row>
    <row r="58" spans="1:11">
      <c r="A58" s="39" t="s">
        <v>108</v>
      </c>
      <c r="B58" s="37">
        <v>0</v>
      </c>
      <c r="C58" s="47">
        <v>0.02</v>
      </c>
      <c r="D58" s="37">
        <v>0</v>
      </c>
      <c r="E58" s="48">
        <v>2.5000000000000001E-2</v>
      </c>
      <c r="F58" s="37">
        <v>0</v>
      </c>
      <c r="G58" s="48">
        <v>2.5000000000000001E-2</v>
      </c>
      <c r="H58" s="37">
        <v>0</v>
      </c>
      <c r="I58" s="47">
        <v>0.03</v>
      </c>
    </row>
    <row r="59" spans="1:11">
      <c r="A59" s="36"/>
      <c r="B59" s="37"/>
      <c r="C59" s="37"/>
      <c r="D59" s="37"/>
      <c r="E59" s="37"/>
      <c r="F59" s="37"/>
      <c r="G59" s="37"/>
      <c r="H59" s="37"/>
      <c r="I59" s="37"/>
    </row>
    <row r="60" spans="1:11">
      <c r="A60" s="39" t="s">
        <v>109</v>
      </c>
      <c r="B60" s="38">
        <v>0</v>
      </c>
      <c r="C60" s="49">
        <v>0.02</v>
      </c>
      <c r="D60" s="38">
        <v>0</v>
      </c>
      <c r="E60" s="50">
        <v>1.4999999999999999E-2</v>
      </c>
      <c r="F60" s="38">
        <v>0</v>
      </c>
      <c r="G60" s="50">
        <v>1.4999999999999999E-2</v>
      </c>
      <c r="H60" s="38">
        <v>0</v>
      </c>
      <c r="I60" s="49">
        <v>0.02</v>
      </c>
    </row>
    <row r="61" spans="1:11">
      <c r="A61" s="36"/>
      <c r="B61" s="38"/>
      <c r="C61" s="38"/>
      <c r="D61" s="38"/>
      <c r="E61" s="38"/>
      <c r="F61" s="38"/>
      <c r="G61" s="38"/>
      <c r="H61" s="38"/>
      <c r="I61" s="38"/>
    </row>
    <row r="62" spans="1:11">
      <c r="A62" s="39" t="s">
        <v>110</v>
      </c>
      <c r="B62" s="37">
        <v>0</v>
      </c>
      <c r="C62" s="47">
        <v>0.02</v>
      </c>
      <c r="D62" s="37">
        <v>0</v>
      </c>
      <c r="E62" s="47">
        <v>0.02</v>
      </c>
      <c r="F62" s="37">
        <v>0</v>
      </c>
      <c r="G62" s="47">
        <v>0.02</v>
      </c>
      <c r="H62" s="37">
        <v>0</v>
      </c>
      <c r="I62" s="47">
        <v>0.03</v>
      </c>
    </row>
    <row r="63" spans="1:11">
      <c r="A63" s="36"/>
      <c r="B63" s="37"/>
      <c r="C63" s="37"/>
      <c r="D63" s="37"/>
      <c r="E63" s="37"/>
      <c r="F63" s="37"/>
      <c r="G63" s="37"/>
      <c r="H63" s="37"/>
      <c r="I63" s="37"/>
    </row>
    <row r="64" spans="1:11">
      <c r="A64" s="39" t="s">
        <v>111</v>
      </c>
      <c r="B64" s="38">
        <v>0</v>
      </c>
      <c r="C64" s="49">
        <v>0.02</v>
      </c>
      <c r="D64" s="38">
        <v>0</v>
      </c>
      <c r="E64" s="49">
        <v>0.02</v>
      </c>
      <c r="F64" s="38">
        <v>0</v>
      </c>
      <c r="G64" s="49">
        <v>0.02</v>
      </c>
      <c r="H64" s="38">
        <v>0</v>
      </c>
      <c r="I64" s="49">
        <v>0.03</v>
      </c>
    </row>
    <row r="65" spans="1:9">
      <c r="A65" s="36"/>
      <c r="B65" s="38"/>
      <c r="C65" s="38"/>
      <c r="D65" s="38"/>
      <c r="E65" s="38"/>
      <c r="F65" s="38"/>
      <c r="G65" s="38"/>
      <c r="H65" s="38"/>
      <c r="I65" s="38"/>
    </row>
    <row r="66" spans="1:9">
      <c r="A66" s="39" t="s">
        <v>112</v>
      </c>
      <c r="B66" s="37">
        <v>0</v>
      </c>
      <c r="C66" s="47">
        <v>0.03</v>
      </c>
      <c r="D66" s="37">
        <v>0</v>
      </c>
      <c r="E66" s="48">
        <v>2.5000000000000001E-2</v>
      </c>
      <c r="F66" s="37">
        <v>0</v>
      </c>
      <c r="G66" s="48">
        <v>2.5000000000000001E-2</v>
      </c>
      <c r="H66" s="37">
        <v>0</v>
      </c>
      <c r="I66" s="48">
        <v>2.5000000000000001E-2</v>
      </c>
    </row>
    <row r="67" spans="1:9">
      <c r="A67" s="36"/>
      <c r="B67" s="37"/>
      <c r="C67" s="37"/>
      <c r="D67" s="37"/>
      <c r="E67" s="37"/>
      <c r="F67" s="37"/>
      <c r="G67" s="37"/>
      <c r="H67" s="37"/>
      <c r="I67" s="37"/>
    </row>
    <row r="68" spans="1:9">
      <c r="A68" s="39" t="s">
        <v>113</v>
      </c>
      <c r="B68" s="38">
        <v>0</v>
      </c>
      <c r="C68" s="58">
        <v>1.4999999999999999E-2</v>
      </c>
      <c r="D68" s="38">
        <v>0</v>
      </c>
      <c r="E68" s="49">
        <v>0.01</v>
      </c>
      <c r="F68" s="38">
        <v>0</v>
      </c>
      <c r="G68" s="49">
        <v>0.01</v>
      </c>
      <c r="H68" s="38">
        <v>0</v>
      </c>
      <c r="I68" s="50">
        <v>5.0000000000000001E-3</v>
      </c>
    </row>
    <row r="69" spans="1:9">
      <c r="A69" s="36"/>
      <c r="B69" s="38"/>
      <c r="C69" s="38"/>
      <c r="D69" s="38"/>
      <c r="E69" s="38"/>
      <c r="F69" s="38"/>
      <c r="G69" s="38"/>
      <c r="H69" s="38"/>
      <c r="I69" s="38"/>
    </row>
    <row r="70" spans="1:9">
      <c r="A70" s="39" t="s">
        <v>114</v>
      </c>
      <c r="B70" s="37">
        <v>0</v>
      </c>
      <c r="C70" s="47">
        <v>0.02</v>
      </c>
      <c r="D70" s="37">
        <v>0</v>
      </c>
      <c r="E70" s="48">
        <v>1.4999999999999999E-2</v>
      </c>
      <c r="F70" s="37">
        <v>0</v>
      </c>
      <c r="G70" s="48">
        <v>1.4999999999999999E-2</v>
      </c>
      <c r="H70" s="37">
        <v>0</v>
      </c>
      <c r="I70" s="47">
        <v>0</v>
      </c>
    </row>
    <row r="71" spans="1:9">
      <c r="A71" s="36"/>
      <c r="B71" s="37"/>
      <c r="C71" s="37"/>
      <c r="D71" s="37"/>
      <c r="E71" s="37"/>
      <c r="F71" s="37"/>
      <c r="G71" s="37"/>
      <c r="H71" s="37"/>
      <c r="I71" s="37"/>
    </row>
    <row r="72" spans="1:9">
      <c r="A72" s="39" t="s">
        <v>115</v>
      </c>
      <c r="B72" s="38">
        <v>0</v>
      </c>
      <c r="C72" s="49">
        <v>0.01</v>
      </c>
      <c r="D72" s="38">
        <v>0</v>
      </c>
      <c r="E72" s="49">
        <v>0.02</v>
      </c>
      <c r="F72" s="38">
        <v>0</v>
      </c>
      <c r="G72" s="49">
        <v>0.02</v>
      </c>
      <c r="H72" s="38">
        <v>0</v>
      </c>
      <c r="I72" s="49">
        <v>0</v>
      </c>
    </row>
    <row r="73" spans="1:9">
      <c r="A73" s="36"/>
      <c r="B73" s="38"/>
      <c r="C73" s="38"/>
      <c r="D73" s="38"/>
      <c r="E73" s="38"/>
      <c r="F73" s="38"/>
      <c r="G73" s="38"/>
      <c r="H73" s="38"/>
      <c r="I73" s="38"/>
    </row>
    <row r="74" spans="1:9">
      <c r="A74" s="36" t="s">
        <v>116</v>
      </c>
      <c r="B74" s="37">
        <v>0</v>
      </c>
      <c r="C74" s="47">
        <v>0</v>
      </c>
      <c r="D74" s="37">
        <v>0</v>
      </c>
      <c r="E74" s="47">
        <v>0.02</v>
      </c>
      <c r="F74" s="37">
        <v>0</v>
      </c>
      <c r="G74" s="47">
        <v>0.02</v>
      </c>
      <c r="H74" s="37">
        <v>0</v>
      </c>
      <c r="I74" s="47">
        <v>0.03</v>
      </c>
    </row>
    <row r="75" spans="1:9">
      <c r="A75" s="36"/>
      <c r="B75" s="37"/>
      <c r="C75" s="37"/>
      <c r="D75" s="37"/>
      <c r="E75" s="37"/>
      <c r="F75" s="37"/>
      <c r="G75" s="37"/>
      <c r="H75" s="37"/>
      <c r="I75" s="37"/>
    </row>
    <row r="76" spans="1:9">
      <c r="A76" s="39" t="s">
        <v>117</v>
      </c>
      <c r="B76" s="38">
        <v>0</v>
      </c>
      <c r="C76" s="49">
        <v>0.01</v>
      </c>
      <c r="D76" s="38">
        <v>0</v>
      </c>
      <c r="E76" s="50">
        <v>1.4999999999999999E-2</v>
      </c>
      <c r="F76" s="38">
        <v>8</v>
      </c>
      <c r="G76" s="50">
        <v>1.4999999999999999E-2</v>
      </c>
      <c r="H76" s="38">
        <v>0</v>
      </c>
      <c r="I76" s="49">
        <v>0.03</v>
      </c>
    </row>
    <row r="77" spans="1:9" ht="39">
      <c r="A77" s="36"/>
      <c r="B77" s="38"/>
      <c r="C77" s="38"/>
      <c r="D77" s="124"/>
      <c r="E77" s="38"/>
      <c r="F77" s="124" t="s">
        <v>118</v>
      </c>
      <c r="G77" s="38"/>
      <c r="H77" s="38"/>
      <c r="I77" s="38"/>
    </row>
    <row r="78" spans="1:9">
      <c r="A78" s="39" t="s">
        <v>119</v>
      </c>
      <c r="B78" s="37">
        <v>0</v>
      </c>
      <c r="C78" s="59">
        <v>1.4999999999999999E-2</v>
      </c>
      <c r="D78" s="37">
        <v>0</v>
      </c>
      <c r="E78" s="48">
        <v>1.4999999999999999E-2</v>
      </c>
      <c r="F78" s="37">
        <v>0</v>
      </c>
      <c r="G78" s="48">
        <v>1.4999999999999999E-2</v>
      </c>
      <c r="H78" s="37">
        <v>0</v>
      </c>
      <c r="I78" s="47">
        <v>0.04</v>
      </c>
    </row>
    <row r="79" spans="1:9">
      <c r="A79" s="36"/>
      <c r="B79" s="37"/>
      <c r="C79" s="37"/>
      <c r="D79" s="37"/>
      <c r="E79" s="37"/>
      <c r="F79" s="37"/>
      <c r="G79" s="37"/>
      <c r="H79" s="37"/>
      <c r="I79" s="37"/>
    </row>
    <row r="80" spans="1:9">
      <c r="A80" s="39" t="s">
        <v>120</v>
      </c>
      <c r="B80" s="38">
        <v>0</v>
      </c>
      <c r="C80" s="49">
        <v>0.02</v>
      </c>
      <c r="D80" s="38">
        <v>0</v>
      </c>
      <c r="E80" s="50">
        <v>1.4999999999999999E-2</v>
      </c>
      <c r="F80" s="38">
        <v>0</v>
      </c>
      <c r="G80" s="50">
        <v>1.4999999999999999E-2</v>
      </c>
      <c r="H80" s="38">
        <v>0</v>
      </c>
      <c r="I80" s="49">
        <v>0.05</v>
      </c>
    </row>
    <row r="81" spans="1:11">
      <c r="A81" s="36"/>
      <c r="B81" s="38"/>
      <c r="C81" s="38"/>
      <c r="D81" s="38"/>
      <c r="E81" s="38"/>
      <c r="F81" s="38"/>
      <c r="G81" s="38"/>
      <c r="H81" s="38"/>
      <c r="I81" s="38"/>
    </row>
    <row r="82" spans="1:11">
      <c r="A82" s="36" t="s">
        <v>121</v>
      </c>
      <c r="B82" s="37">
        <v>0</v>
      </c>
      <c r="C82" s="47">
        <v>0</v>
      </c>
      <c r="D82" s="37">
        <v>0</v>
      </c>
      <c r="E82" s="48">
        <v>1.4999999999999999E-2</v>
      </c>
      <c r="F82" s="37">
        <v>0</v>
      </c>
      <c r="G82" s="48">
        <v>1.4999999999999999E-2</v>
      </c>
      <c r="H82" s="37">
        <v>0</v>
      </c>
      <c r="I82" s="47">
        <v>0.05</v>
      </c>
    </row>
    <row r="83" spans="1:11">
      <c r="A83" s="36"/>
      <c r="B83" s="37"/>
      <c r="C83" s="37"/>
      <c r="D83" s="37"/>
      <c r="E83" s="37"/>
      <c r="F83" s="37"/>
      <c r="G83" s="37"/>
      <c r="H83" s="37"/>
      <c r="I83" s="37"/>
    </row>
    <row r="84" spans="1:11">
      <c r="A84" s="46" t="s">
        <v>122</v>
      </c>
      <c r="B84" s="38">
        <v>0</v>
      </c>
      <c r="C84" s="49">
        <v>0</v>
      </c>
      <c r="D84" s="38">
        <v>0</v>
      </c>
      <c r="E84" s="49">
        <v>0.02</v>
      </c>
      <c r="F84" s="38">
        <v>0</v>
      </c>
      <c r="G84" s="49">
        <v>0.02</v>
      </c>
      <c r="H84" s="38">
        <v>0</v>
      </c>
      <c r="I84" s="49">
        <v>0.17</v>
      </c>
    </row>
    <row r="85" spans="1:11">
      <c r="A85" s="28"/>
      <c r="B85" s="56"/>
      <c r="C85" s="60">
        <f>SUM(C6:C84)</f>
        <v>1.0000000000000007</v>
      </c>
      <c r="D85" s="55"/>
      <c r="E85" s="55">
        <f>SUM(E6:E84)</f>
        <v>1.0000000000000004</v>
      </c>
      <c r="F85" s="55"/>
      <c r="G85" s="55">
        <f>SUM(G6:G84)</f>
        <v>1.0000000000000004</v>
      </c>
      <c r="H85" s="55"/>
      <c r="I85" s="60">
        <f>SUM(I6:I84)</f>
        <v>1.0000000000000004</v>
      </c>
    </row>
    <row r="86" spans="1:11" ht="32.15" customHeight="1">
      <c r="A86" s="35" t="s">
        <v>123</v>
      </c>
      <c r="B86" s="35">
        <f>SUMPRODUCT(B6:B85,C6:C85)</f>
        <v>0</v>
      </c>
      <c r="C86" s="35"/>
      <c r="D86" s="35">
        <f>SUMPRODUCT(D6:D84,E6:E84)</f>
        <v>0.18</v>
      </c>
      <c r="E86" s="35"/>
      <c r="F86" s="35">
        <f>SUMPRODUCT(F6:F84,G6:G84)</f>
        <v>0.52</v>
      </c>
      <c r="G86" s="35"/>
      <c r="H86" s="35">
        <f>SUMPRODUCT(H6:H85,I6:I85)</f>
        <v>0.08</v>
      </c>
      <c r="I86" s="35"/>
      <c r="J86" s="67">
        <f>SUM(B86+D86+F86+H86)/20*100</f>
        <v>3.8999999999999995</v>
      </c>
    </row>
    <row r="87" spans="1:11" ht="32.15" customHeight="1">
      <c r="B87" s="33"/>
      <c r="D87" s="33"/>
      <c r="F87" s="33"/>
      <c r="H87" s="33"/>
    </row>
    <row r="88" spans="1:11">
      <c r="A88" s="147"/>
      <c r="D88" s="157"/>
      <c r="J88" s="40">
        <v>0.88</v>
      </c>
      <c r="K88" s="40" t="s">
        <v>124</v>
      </c>
    </row>
  </sheetData>
  <mergeCells count="10">
    <mergeCell ref="A2:A5"/>
    <mergeCell ref="B2:B5"/>
    <mergeCell ref="D2:D5"/>
    <mergeCell ref="H2:H5"/>
    <mergeCell ref="B1:I1"/>
    <mergeCell ref="C2:C5"/>
    <mergeCell ref="E2:E5"/>
    <mergeCell ref="G2:G5"/>
    <mergeCell ref="I2:I5"/>
    <mergeCell ref="F2: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0"/>
  <sheetViews>
    <sheetView workbookViewId="0">
      <selection activeCell="F9" sqref="F9"/>
    </sheetView>
  </sheetViews>
  <sheetFormatPr defaultColWidth="10.83203125" defaultRowHeight="15.5"/>
  <cols>
    <col min="1" max="1" width="39.08203125" style="1" customWidth="1"/>
    <col min="2" max="2" width="13.58203125" style="1" customWidth="1"/>
    <col min="3" max="3" width="14.5" style="1" customWidth="1"/>
    <col min="4" max="4" width="15.33203125" style="1" customWidth="1"/>
    <col min="5" max="16384" width="10.83203125" style="1"/>
  </cols>
  <sheetData>
    <row r="1" spans="1:6">
      <c r="A1" s="226" t="s">
        <v>125</v>
      </c>
      <c r="B1" s="228" t="s">
        <v>126</v>
      </c>
      <c r="C1" s="228"/>
      <c r="D1" s="228"/>
    </row>
    <row r="2" spans="1:6" ht="34" customHeight="1">
      <c r="A2" s="221"/>
      <c r="B2" s="222" t="s">
        <v>127</v>
      </c>
      <c r="C2" s="222" t="s">
        <v>128</v>
      </c>
      <c r="D2" s="222" t="s">
        <v>129</v>
      </c>
      <c r="F2" s="69" t="s">
        <v>130</v>
      </c>
    </row>
    <row r="3" spans="1:6">
      <c r="A3" s="221"/>
      <c r="B3" s="222"/>
      <c r="C3" s="222"/>
      <c r="D3" s="222"/>
    </row>
    <row r="4" spans="1:6">
      <c r="A4" s="221"/>
      <c r="B4" s="222"/>
      <c r="C4" s="222"/>
      <c r="D4" s="222"/>
    </row>
    <row r="5" spans="1:6">
      <c r="A5" s="221"/>
      <c r="B5" s="222"/>
      <c r="C5" s="222"/>
      <c r="D5" s="222"/>
    </row>
    <row r="6" spans="1:6">
      <c r="A6" s="71" t="s">
        <v>131</v>
      </c>
      <c r="B6" s="72">
        <v>0</v>
      </c>
      <c r="C6" s="71"/>
      <c r="D6" s="71"/>
    </row>
    <row r="7" spans="1:6">
      <c r="A7" s="71" t="s">
        <v>132</v>
      </c>
      <c r="B7" s="71"/>
      <c r="C7" s="72">
        <v>3</v>
      </c>
      <c r="D7" s="71"/>
    </row>
    <row r="8" spans="1:6">
      <c r="A8" s="71" t="s">
        <v>133</v>
      </c>
      <c r="B8" s="71"/>
      <c r="C8" s="71"/>
      <c r="D8" s="72">
        <v>0</v>
      </c>
      <c r="F8" s="247" t="s">
        <v>298</v>
      </c>
    </row>
    <row r="9" spans="1:6">
      <c r="F9" s="74">
        <f>(B6+C7+D8)/5*100</f>
        <v>60</v>
      </c>
    </row>
    <row r="10" spans="1:6">
      <c r="A10" s="65" t="s">
        <v>295</v>
      </c>
    </row>
  </sheetData>
  <mergeCells count="5">
    <mergeCell ref="A1:A5"/>
    <mergeCell ref="B1:D1"/>
    <mergeCell ref="B2:B5"/>
    <mergeCell ref="C2:C5"/>
    <mergeCell ref="D2: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I21"/>
  <sheetViews>
    <sheetView zoomScale="90" zoomScaleNormal="90" workbookViewId="0">
      <selection activeCell="F18" sqref="F18"/>
    </sheetView>
  </sheetViews>
  <sheetFormatPr defaultColWidth="10.83203125" defaultRowHeight="15.5"/>
  <cols>
    <col min="1" max="1" width="32.33203125" style="1" customWidth="1"/>
    <col min="2" max="2" width="27.25" style="1" bestFit="1" customWidth="1"/>
    <col min="3" max="3" width="27.08203125" style="1" customWidth="1"/>
    <col min="4" max="4" width="82.58203125" style="1" customWidth="1"/>
    <col min="5" max="5" width="10.83203125" style="1"/>
    <col min="6" max="6" width="14.83203125" style="1" customWidth="1"/>
    <col min="7" max="16384" width="10.83203125" style="1"/>
  </cols>
  <sheetData>
    <row r="1" spans="1:9">
      <c r="A1" s="3"/>
      <c r="B1" s="228" t="s">
        <v>135</v>
      </c>
      <c r="C1" s="228"/>
      <c r="D1" s="228"/>
    </row>
    <row r="2" spans="1:9">
      <c r="A2" s="226" t="s">
        <v>136</v>
      </c>
      <c r="B2" s="231" t="s">
        <v>137</v>
      </c>
      <c r="C2" s="231" t="s">
        <v>138</v>
      </c>
      <c r="D2" s="232" t="s">
        <v>139</v>
      </c>
    </row>
    <row r="3" spans="1:9">
      <c r="A3" s="226"/>
      <c r="B3" s="231"/>
      <c r="C3" s="231"/>
      <c r="D3" s="233"/>
      <c r="F3" s="69" t="s">
        <v>140</v>
      </c>
      <c r="G3" s="70"/>
      <c r="H3" s="70"/>
      <c r="I3" s="70"/>
    </row>
    <row r="4" spans="1:9">
      <c r="A4" s="226"/>
      <c r="B4" s="231"/>
      <c r="C4" s="231"/>
      <c r="D4" s="233"/>
    </row>
    <row r="5" spans="1:9" ht="40.5" customHeight="1">
      <c r="A5" s="226"/>
      <c r="B5" s="231"/>
      <c r="C5" s="231"/>
      <c r="D5" s="233"/>
    </row>
    <row r="6" spans="1:9" ht="17.149999999999999" customHeight="1">
      <c r="A6" s="11"/>
      <c r="B6" s="31">
        <v>0.3</v>
      </c>
      <c r="C6" s="31">
        <v>0.5</v>
      </c>
      <c r="D6" s="29">
        <v>0.2</v>
      </c>
    </row>
    <row r="7" spans="1:9">
      <c r="A7" s="71" t="s">
        <v>141</v>
      </c>
      <c r="B7" s="72">
        <v>0</v>
      </c>
      <c r="C7" s="72">
        <v>0</v>
      </c>
      <c r="D7" s="72">
        <v>0</v>
      </c>
    </row>
    <row r="8" spans="1:9">
      <c r="A8" s="71"/>
      <c r="B8" s="72"/>
      <c r="C8" s="72"/>
      <c r="D8" s="72"/>
    </row>
    <row r="9" spans="1:9">
      <c r="A9" s="71" t="s">
        <v>142</v>
      </c>
      <c r="B9" s="72">
        <v>0</v>
      </c>
      <c r="C9" s="72">
        <v>0</v>
      </c>
      <c r="D9" s="72">
        <v>7</v>
      </c>
    </row>
    <row r="10" spans="1:9" ht="46.5">
      <c r="A10" s="71"/>
      <c r="B10" s="72"/>
      <c r="C10" s="72"/>
      <c r="D10" s="200" t="s">
        <v>297</v>
      </c>
    </row>
    <row r="11" spans="1:9">
      <c r="A11" s="71" t="s">
        <v>143</v>
      </c>
      <c r="B11" s="72">
        <v>0</v>
      </c>
      <c r="C11" s="72">
        <v>0</v>
      </c>
      <c r="D11" s="72">
        <v>0</v>
      </c>
    </row>
    <row r="12" spans="1:9">
      <c r="A12" s="71"/>
      <c r="B12" s="72"/>
      <c r="C12" s="72"/>
      <c r="D12" s="128"/>
    </row>
    <row r="13" spans="1:9" ht="31">
      <c r="A13" s="73" t="s">
        <v>144</v>
      </c>
      <c r="B13" s="72">
        <v>0</v>
      </c>
      <c r="C13" s="72">
        <v>0</v>
      </c>
      <c r="D13" s="72">
        <v>0</v>
      </c>
    </row>
    <row r="14" spans="1:9">
      <c r="A14" s="71"/>
      <c r="B14" s="72"/>
      <c r="C14" s="72"/>
      <c r="D14" s="72"/>
    </row>
    <row r="15" spans="1:9">
      <c r="A15" s="71" t="s">
        <v>145</v>
      </c>
      <c r="B15" s="72">
        <v>0</v>
      </c>
      <c r="C15" s="72">
        <v>0</v>
      </c>
      <c r="D15" s="72">
        <v>0</v>
      </c>
    </row>
    <row r="16" spans="1:9">
      <c r="A16" s="71"/>
      <c r="B16" s="199" t="s">
        <v>146</v>
      </c>
      <c r="C16" s="199" t="s">
        <v>146</v>
      </c>
      <c r="D16" s="72"/>
      <c r="E16" s="13" t="s">
        <v>13</v>
      </c>
    </row>
    <row r="17" spans="1:6" ht="30" customHeight="1">
      <c r="A17" s="2" t="s">
        <v>13</v>
      </c>
      <c r="B17" s="2">
        <f>SUM(B7+B9+B11+B13+B15)*B6</f>
        <v>0</v>
      </c>
      <c r="C17" s="2">
        <f>SUM(C7+C9+C11+C13+C15)*C6</f>
        <v>0</v>
      </c>
      <c r="D17" s="2">
        <f>SUM(D7+D9+D11+D13+D15)*D6</f>
        <v>1.4000000000000001</v>
      </c>
      <c r="E17" s="40">
        <v>14</v>
      </c>
      <c r="F17" s="57" t="s">
        <v>147</v>
      </c>
    </row>
    <row r="20" spans="1:6" ht="0.75" customHeight="1"/>
    <row r="21" spans="1:6" ht="105" customHeight="1">
      <c r="B21" s="127"/>
      <c r="C21" s="123" t="s">
        <v>296</v>
      </c>
      <c r="D21" s="229" t="s">
        <v>148</v>
      </c>
      <c r="E21" s="230"/>
    </row>
  </sheetData>
  <mergeCells count="6">
    <mergeCell ref="B1:D1"/>
    <mergeCell ref="D21:E21"/>
    <mergeCell ref="A2:A5"/>
    <mergeCell ref="B2:B5"/>
    <mergeCell ref="C2:C5"/>
    <mergeCell ref="D2: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31"/>
  <sheetViews>
    <sheetView topLeftCell="B2" zoomScale="90" zoomScaleNormal="90" workbookViewId="0">
      <selection activeCell="C22" sqref="C22"/>
    </sheetView>
  </sheetViews>
  <sheetFormatPr defaultColWidth="10.58203125" defaultRowHeight="15.5"/>
  <cols>
    <col min="1" max="1" width="84.08203125" customWidth="1"/>
    <col min="2" max="2" width="18" customWidth="1"/>
    <col min="3" max="3" width="64.58203125" customWidth="1"/>
    <col min="4" max="4" width="37.5" customWidth="1"/>
    <col min="5" max="5" width="19" customWidth="1"/>
    <col min="6" max="6" width="19.33203125" customWidth="1"/>
    <col min="7" max="8" width="15.33203125" customWidth="1"/>
    <col min="9" max="9" width="15.5" customWidth="1"/>
    <col min="10" max="10" width="21.83203125" customWidth="1"/>
  </cols>
  <sheetData>
    <row r="1" spans="1:10">
      <c r="A1" s="75"/>
      <c r="B1" s="228" t="s">
        <v>149</v>
      </c>
      <c r="C1" s="228"/>
      <c r="D1" s="228"/>
      <c r="E1" s="3"/>
      <c r="F1" s="3"/>
    </row>
    <row r="2" spans="1:10">
      <c r="A2" s="221" t="s">
        <v>150</v>
      </c>
      <c r="B2" s="222" t="s">
        <v>151</v>
      </c>
      <c r="C2" s="222" t="s">
        <v>152</v>
      </c>
      <c r="D2" s="222" t="s">
        <v>153</v>
      </c>
      <c r="E2" s="34"/>
      <c r="F2" s="34"/>
      <c r="G2" s="226" t="s">
        <v>14</v>
      </c>
      <c r="H2" s="226" t="s">
        <v>13</v>
      </c>
      <c r="I2" s="226" t="s">
        <v>15</v>
      </c>
      <c r="J2" s="27"/>
    </row>
    <row r="3" spans="1:10">
      <c r="A3" s="221"/>
      <c r="B3" s="223"/>
      <c r="C3" s="223"/>
      <c r="D3" s="223"/>
      <c r="E3" s="28"/>
      <c r="F3" s="223" t="s">
        <v>154</v>
      </c>
      <c r="G3" s="226"/>
      <c r="H3" s="226"/>
      <c r="I3" s="226"/>
      <c r="J3" s="27"/>
    </row>
    <row r="4" spans="1:10">
      <c r="A4" s="221"/>
      <c r="B4" s="223"/>
      <c r="C4" s="223"/>
      <c r="D4" s="223"/>
      <c r="E4" s="222" t="s">
        <v>155</v>
      </c>
      <c r="F4" s="223"/>
      <c r="G4" s="226"/>
      <c r="H4" s="226"/>
      <c r="I4" s="226"/>
      <c r="J4" s="27"/>
    </row>
    <row r="5" spans="1:10" ht="53.15" customHeight="1">
      <c r="A5" s="221"/>
      <c r="B5" s="223"/>
      <c r="C5" s="223"/>
      <c r="D5" s="223"/>
      <c r="E5" s="234"/>
      <c r="F5" s="223"/>
      <c r="G5" s="226"/>
      <c r="H5" s="226"/>
      <c r="I5" s="226"/>
      <c r="J5" s="27"/>
    </row>
    <row r="6" spans="1:10" ht="31">
      <c r="A6" s="130" t="s">
        <v>156</v>
      </c>
      <c r="B6" s="131">
        <v>0</v>
      </c>
      <c r="C6" s="132">
        <v>0</v>
      </c>
      <c r="D6" s="133">
        <v>0</v>
      </c>
      <c r="E6" s="134">
        <v>0</v>
      </c>
      <c r="F6" s="135">
        <v>0</v>
      </c>
      <c r="G6" s="136">
        <v>0.3</v>
      </c>
      <c r="H6" s="79">
        <f>(SUM(B6:F6)*G6)</f>
        <v>0</v>
      </c>
      <c r="I6" s="35">
        <f>(B6*H6)+(C6*H6)+(D6*H6)</f>
        <v>0</v>
      </c>
      <c r="J6" s="27"/>
    </row>
    <row r="7" spans="1:10">
      <c r="A7" s="146" t="s">
        <v>157</v>
      </c>
      <c r="B7" s="137"/>
      <c r="C7" s="138"/>
      <c r="D7" s="139"/>
      <c r="E7" s="140"/>
      <c r="F7" s="141"/>
      <c r="G7" s="136"/>
      <c r="H7" s="79"/>
      <c r="I7" s="35"/>
      <c r="J7" s="27"/>
    </row>
    <row r="8" spans="1:10" ht="31">
      <c r="A8" s="142" t="s">
        <v>158</v>
      </c>
      <c r="B8" s="143">
        <v>0</v>
      </c>
      <c r="C8" s="143">
        <v>0</v>
      </c>
      <c r="D8" s="143">
        <v>0</v>
      </c>
      <c r="E8" s="143">
        <v>0</v>
      </c>
      <c r="F8" s="143">
        <v>0</v>
      </c>
      <c r="G8" s="29">
        <v>0.1</v>
      </c>
      <c r="H8" s="79">
        <f>(SUM(B8:F8)*G8)</f>
        <v>0</v>
      </c>
      <c r="I8" s="35">
        <f>(B8*H8)+(C8*H8)+(D8*H8)</f>
        <v>0</v>
      </c>
      <c r="J8" s="27"/>
    </row>
    <row r="9" spans="1:10">
      <c r="A9" s="146" t="s">
        <v>157</v>
      </c>
      <c r="B9" s="77"/>
      <c r="C9" s="77"/>
      <c r="D9" s="77"/>
      <c r="E9" s="77"/>
      <c r="F9" s="77"/>
      <c r="G9" s="26"/>
      <c r="H9" s="79"/>
      <c r="I9" s="35"/>
      <c r="J9" s="27"/>
    </row>
    <row r="10" spans="1:10" ht="31">
      <c r="A10" s="46" t="s">
        <v>159</v>
      </c>
      <c r="B10" s="78">
        <v>0</v>
      </c>
      <c r="C10" s="78">
        <v>5</v>
      </c>
      <c r="D10" s="78">
        <v>0</v>
      </c>
      <c r="E10" s="78">
        <v>0</v>
      </c>
      <c r="F10" s="78">
        <v>0</v>
      </c>
      <c r="G10" s="30">
        <v>0.15</v>
      </c>
      <c r="H10" s="79">
        <f t="shared" ref="H10:H18" si="0">(SUM(B10:F10)*G10)</f>
        <v>0.75</v>
      </c>
      <c r="I10" s="35">
        <f>(B10*H10)+(C10*H10)+(D10*H10)</f>
        <v>3.75</v>
      </c>
      <c r="J10" s="27"/>
    </row>
    <row r="11" spans="1:10" ht="93" customHeight="1">
      <c r="A11" s="45"/>
      <c r="B11" s="78"/>
      <c r="C11" s="125" t="s">
        <v>160</v>
      </c>
      <c r="D11" s="78"/>
      <c r="E11" s="78"/>
      <c r="F11" s="78"/>
      <c r="G11" s="26"/>
      <c r="H11" s="79"/>
      <c r="I11" s="35"/>
      <c r="J11" s="27"/>
    </row>
    <row r="12" spans="1:10" ht="31">
      <c r="A12" s="46" t="s">
        <v>161</v>
      </c>
      <c r="B12" s="77">
        <v>0</v>
      </c>
      <c r="C12" s="77">
        <v>0</v>
      </c>
      <c r="D12" s="77">
        <v>0</v>
      </c>
      <c r="E12" s="77">
        <v>0</v>
      </c>
      <c r="F12" s="77">
        <v>0</v>
      </c>
      <c r="G12" s="30">
        <v>0.15</v>
      </c>
      <c r="H12" s="79">
        <f t="shared" si="0"/>
        <v>0</v>
      </c>
      <c r="I12" s="35">
        <f>(B12*H12)+(C12*H12)+(D12*H12)</f>
        <v>0</v>
      </c>
      <c r="J12" s="27"/>
    </row>
    <row r="13" spans="1:10">
      <c r="A13" s="146" t="s">
        <v>157</v>
      </c>
      <c r="B13" s="77"/>
      <c r="C13" s="77"/>
      <c r="D13" s="77"/>
      <c r="E13" s="77"/>
      <c r="F13" s="77"/>
      <c r="G13" s="26"/>
      <c r="H13" s="79"/>
      <c r="I13" s="35"/>
      <c r="J13" s="27"/>
    </row>
    <row r="14" spans="1:10">
      <c r="A14" s="46" t="s">
        <v>162</v>
      </c>
      <c r="B14" s="78">
        <v>0</v>
      </c>
      <c r="C14" s="78">
        <v>2.5</v>
      </c>
      <c r="D14" s="78">
        <v>0</v>
      </c>
      <c r="E14" s="78">
        <v>2</v>
      </c>
      <c r="F14" s="78">
        <v>0</v>
      </c>
      <c r="G14" s="31">
        <v>0.1</v>
      </c>
      <c r="H14" s="79">
        <f t="shared" si="0"/>
        <v>0.45</v>
      </c>
      <c r="I14" s="35">
        <f>(B14*H14)+(C14*H14)+(D14*H14)</f>
        <v>1.125</v>
      </c>
      <c r="J14" s="27"/>
    </row>
    <row r="15" spans="1:10" ht="78.5">
      <c r="A15" s="46"/>
      <c r="B15" s="78"/>
      <c r="C15" s="125" t="s">
        <v>160</v>
      </c>
      <c r="D15" s="78"/>
      <c r="E15" s="78"/>
      <c r="F15" s="78"/>
      <c r="G15" s="32"/>
      <c r="H15" s="79"/>
      <c r="I15" s="35"/>
      <c r="J15" s="27"/>
    </row>
    <row r="16" spans="1:10">
      <c r="A16" s="46" t="s">
        <v>163</v>
      </c>
      <c r="B16" s="77">
        <v>0</v>
      </c>
      <c r="C16" s="77">
        <v>0</v>
      </c>
      <c r="D16" s="77">
        <v>0</v>
      </c>
      <c r="E16" s="77">
        <v>0</v>
      </c>
      <c r="F16" s="77">
        <v>0</v>
      </c>
      <c r="G16" s="31">
        <v>0.15</v>
      </c>
      <c r="H16" s="79">
        <f t="shared" si="0"/>
        <v>0</v>
      </c>
      <c r="I16" s="35">
        <f>(B16*H16)+(C16*H16)+(D16*H16)</f>
        <v>0</v>
      </c>
      <c r="J16" s="27"/>
    </row>
    <row r="17" spans="1:10">
      <c r="A17" s="146" t="s">
        <v>157</v>
      </c>
      <c r="B17" s="77"/>
      <c r="C17" s="77"/>
      <c r="D17" s="77"/>
      <c r="E17" s="77"/>
      <c r="F17" s="77"/>
      <c r="G17" s="32"/>
      <c r="H17" s="79"/>
      <c r="I17" s="35"/>
      <c r="J17" s="27"/>
    </row>
    <row r="18" spans="1:10">
      <c r="A18" s="46" t="s">
        <v>164</v>
      </c>
      <c r="B18" s="78">
        <v>0</v>
      </c>
      <c r="C18" s="78">
        <v>0</v>
      </c>
      <c r="D18" s="78">
        <v>0</v>
      </c>
      <c r="E18" s="78">
        <v>0</v>
      </c>
      <c r="F18" s="78">
        <v>0</v>
      </c>
      <c r="G18" s="31">
        <v>0.05</v>
      </c>
      <c r="H18" s="144">
        <f t="shared" si="0"/>
        <v>0</v>
      </c>
      <c r="I18" s="35">
        <f>(B18*H18)+(C18*H18)+(D18*H18)</f>
        <v>0</v>
      </c>
      <c r="J18" s="27"/>
    </row>
    <row r="19" spans="1:10">
      <c r="A19" s="146" t="s">
        <v>157</v>
      </c>
      <c r="B19" s="145"/>
      <c r="C19" s="145"/>
      <c r="D19" s="145"/>
      <c r="E19" s="145"/>
      <c r="F19" s="145"/>
      <c r="G19" s="32"/>
      <c r="H19" s="144"/>
      <c r="I19" s="35"/>
      <c r="J19" s="27"/>
    </row>
    <row r="20" spans="1:10">
      <c r="A20" s="163"/>
      <c r="B20" s="158"/>
      <c r="C20" s="158"/>
      <c r="D20" s="158"/>
      <c r="E20" s="159"/>
      <c r="F20" s="159"/>
      <c r="G20" s="43">
        <f>SUM(G6:G18)</f>
        <v>1</v>
      </c>
      <c r="H20" s="160">
        <f>SUM(H6:H18)*10</f>
        <v>12</v>
      </c>
      <c r="I20" s="27" t="s">
        <v>165</v>
      </c>
      <c r="J20" s="27"/>
    </row>
    <row r="21" spans="1:10">
      <c r="A21" s="164"/>
      <c r="B21" s="27"/>
      <c r="C21" s="27"/>
      <c r="D21" s="27"/>
      <c r="E21" s="27"/>
      <c r="F21" s="27"/>
      <c r="G21" s="52"/>
      <c r="H21" s="161"/>
      <c r="I21" s="27"/>
      <c r="J21" s="27"/>
    </row>
    <row r="22" spans="1:10">
      <c r="A22" s="164"/>
      <c r="B22" s="27"/>
      <c r="C22" s="27"/>
      <c r="D22" s="27"/>
      <c r="E22" s="27"/>
      <c r="F22" s="27"/>
      <c r="G22" s="52"/>
      <c r="H22" s="161"/>
      <c r="I22" s="27"/>
      <c r="J22" s="27"/>
    </row>
    <row r="23" spans="1:10">
      <c r="A23" s="165"/>
      <c r="B23" s="27"/>
      <c r="D23" s="27"/>
      <c r="E23" s="27"/>
      <c r="F23" s="27"/>
      <c r="G23" s="43"/>
      <c r="H23" s="160"/>
      <c r="I23" s="27"/>
      <c r="J23" s="27"/>
    </row>
    <row r="24" spans="1:10" ht="39.5" customHeight="1">
      <c r="A24" s="166"/>
      <c r="B24" s="27"/>
      <c r="C24" s="198" t="s">
        <v>299</v>
      </c>
      <c r="D24" s="162"/>
      <c r="E24" s="27"/>
      <c r="F24" s="27"/>
      <c r="G24" s="27"/>
      <c r="H24" s="27"/>
      <c r="I24" s="27"/>
      <c r="J24" s="27"/>
    </row>
    <row r="25" spans="1:10">
      <c r="A25" s="108"/>
      <c r="B25" s="76"/>
      <c r="C25" s="76"/>
      <c r="D25" s="76"/>
      <c r="E25" s="27"/>
      <c r="F25" s="27"/>
      <c r="G25" s="43"/>
      <c r="H25" s="43"/>
      <c r="I25" s="27"/>
      <c r="J25" s="27"/>
    </row>
    <row r="26" spans="1:10">
      <c r="A26" s="42"/>
      <c r="B26" s="42"/>
      <c r="C26" s="42"/>
      <c r="D26" s="42"/>
      <c r="E26" s="27"/>
      <c r="F26" s="27"/>
      <c r="G26" s="27"/>
      <c r="H26" s="27"/>
      <c r="I26" s="27"/>
      <c r="J26" s="27"/>
    </row>
    <row r="27" spans="1:10">
      <c r="A27" s="41"/>
      <c r="B27" s="42"/>
      <c r="C27" s="42"/>
      <c r="D27" s="42"/>
      <c r="E27" s="27"/>
      <c r="F27" s="27"/>
      <c r="G27" s="43"/>
      <c r="H27" s="43"/>
      <c r="I27" s="27"/>
      <c r="J27" s="27"/>
    </row>
    <row r="28" spans="1:10">
      <c r="A28" s="42"/>
      <c r="B28" s="42"/>
      <c r="C28" s="42"/>
      <c r="D28" s="42"/>
      <c r="E28" s="27"/>
      <c r="F28" s="27"/>
      <c r="G28" s="27"/>
      <c r="H28" s="27"/>
      <c r="I28" s="27"/>
      <c r="J28" s="27"/>
    </row>
    <row r="29" spans="1:10">
      <c r="A29" s="41"/>
      <c r="B29" s="42"/>
      <c r="C29" s="42"/>
      <c r="D29" s="42"/>
      <c r="E29" s="27"/>
      <c r="F29" s="27"/>
      <c r="G29" s="43"/>
      <c r="H29" s="43"/>
      <c r="I29" s="27"/>
      <c r="J29" s="27"/>
    </row>
    <row r="30" spans="1:10">
      <c r="A30" s="42"/>
      <c r="B30" s="42"/>
      <c r="C30" s="42"/>
      <c r="D30" s="42"/>
      <c r="E30" s="27"/>
      <c r="F30" s="27"/>
      <c r="G30" s="33"/>
      <c r="H30" s="33"/>
      <c r="I30" s="27"/>
      <c r="J30" s="27"/>
    </row>
    <row r="31" spans="1:10">
      <c r="A31" s="27"/>
      <c r="B31" s="27"/>
      <c r="C31" s="27"/>
      <c r="D31" s="27"/>
      <c r="E31" s="27"/>
      <c r="F31" s="27"/>
      <c r="G31" s="27"/>
      <c r="H31" s="27"/>
      <c r="I31" s="27"/>
      <c r="J31" s="27"/>
    </row>
  </sheetData>
  <mergeCells count="10">
    <mergeCell ref="I2:I5"/>
    <mergeCell ref="B1:D1"/>
    <mergeCell ref="F3:F5"/>
    <mergeCell ref="E4:E5"/>
    <mergeCell ref="A2:A5"/>
    <mergeCell ref="B2:B5"/>
    <mergeCell ref="C2:C5"/>
    <mergeCell ref="D2:D5"/>
    <mergeCell ref="G2:G5"/>
    <mergeCell ref="H2: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1295-F2AD-8A43-A4DD-8F37DF65667B}">
  <dimension ref="A1:K62"/>
  <sheetViews>
    <sheetView topLeftCell="A9" workbookViewId="0">
      <selection activeCell="E39" sqref="E39"/>
    </sheetView>
  </sheetViews>
  <sheetFormatPr defaultColWidth="10.83203125" defaultRowHeight="15.5"/>
  <cols>
    <col min="1" max="1" width="44.08203125" style="52" customWidth="1"/>
    <col min="2" max="2" width="37.25" style="27" customWidth="1"/>
    <col min="3" max="3" width="27.5" style="27" customWidth="1"/>
    <col min="4" max="4" width="15.5" style="27" customWidth="1"/>
    <col min="5" max="5" width="12.08203125" style="27" customWidth="1"/>
    <col min="6" max="6" width="10.83203125" style="27"/>
    <col min="7" max="7" width="3.08203125" style="27" customWidth="1"/>
    <col min="8" max="9" width="10.83203125" style="27"/>
    <col min="10" max="10" width="54" style="1" customWidth="1"/>
    <col min="11" max="11" width="13.33203125" style="27" customWidth="1"/>
    <col min="12" max="16384" width="10.83203125" style="27"/>
  </cols>
  <sheetData>
    <row r="1" spans="1:11" ht="16" customHeight="1" thickTop="1">
      <c r="A1" s="226" t="s">
        <v>0</v>
      </c>
      <c r="B1" s="222" t="s">
        <v>166</v>
      </c>
      <c r="C1" s="222" t="s">
        <v>167</v>
      </c>
      <c r="D1" s="236" t="s">
        <v>134</v>
      </c>
      <c r="E1" s="235" t="s">
        <v>168</v>
      </c>
      <c r="F1" s="237" t="s">
        <v>169</v>
      </c>
      <c r="G1" s="102"/>
      <c r="J1" s="5" t="s">
        <v>0</v>
      </c>
      <c r="K1" s="235" t="s">
        <v>170</v>
      </c>
    </row>
    <row r="2" spans="1:11">
      <c r="A2" s="226"/>
      <c r="B2" s="222"/>
      <c r="C2" s="222"/>
      <c r="D2" s="236"/>
      <c r="E2" s="235"/>
      <c r="F2" s="237"/>
      <c r="G2" s="102"/>
      <c r="J2" s="3"/>
      <c r="K2" s="235"/>
    </row>
    <row r="3" spans="1:11">
      <c r="A3" s="226"/>
      <c r="B3" s="222"/>
      <c r="C3" s="222"/>
      <c r="D3" s="236"/>
      <c r="E3" s="235"/>
      <c r="F3" s="237"/>
      <c r="G3" s="102"/>
      <c r="J3" s="9" t="s">
        <v>16</v>
      </c>
      <c r="K3" s="100">
        <f>D7*10</f>
        <v>0</v>
      </c>
    </row>
    <row r="4" spans="1:11">
      <c r="A4" s="226"/>
      <c r="B4" s="222"/>
      <c r="C4" s="222"/>
      <c r="D4" s="236"/>
      <c r="E4" s="235"/>
      <c r="F4" s="237"/>
      <c r="G4" s="102"/>
      <c r="J4" s="9"/>
      <c r="K4" s="100"/>
    </row>
    <row r="5" spans="1:11">
      <c r="A5" s="226"/>
      <c r="B5" s="222"/>
      <c r="C5" s="222"/>
      <c r="D5" s="236"/>
      <c r="E5" s="235"/>
      <c r="F5" s="237"/>
      <c r="G5" s="102"/>
      <c r="J5" s="9" t="s">
        <v>17</v>
      </c>
      <c r="K5" s="100">
        <f>D8*10</f>
        <v>0</v>
      </c>
    </row>
    <row r="6" spans="1:11">
      <c r="A6" s="226"/>
      <c r="B6" s="31"/>
      <c r="C6" s="29"/>
      <c r="D6" s="236"/>
      <c r="G6" s="102"/>
      <c r="J6" s="9"/>
      <c r="K6" s="100"/>
    </row>
    <row r="7" spans="1:11" ht="31">
      <c r="A7" s="34" t="s">
        <v>171</v>
      </c>
      <c r="B7" s="96">
        <v>0</v>
      </c>
      <c r="C7" s="96">
        <v>0</v>
      </c>
      <c r="D7" s="26">
        <f>B7+C7</f>
        <v>0</v>
      </c>
      <c r="E7" s="99">
        <v>0.04</v>
      </c>
      <c r="G7" s="106"/>
      <c r="J7" s="172" t="s">
        <v>18</v>
      </c>
      <c r="K7" s="100">
        <f>D9*10</f>
        <v>10</v>
      </c>
    </row>
    <row r="8" spans="1:11" ht="124">
      <c r="A8" s="34" t="s">
        <v>172</v>
      </c>
      <c r="B8" s="97">
        <v>0</v>
      </c>
      <c r="C8" s="97">
        <v>0</v>
      </c>
      <c r="D8" s="26">
        <f t="shared" ref="D8:D36" si="0">B8+C8</f>
        <v>0</v>
      </c>
      <c r="E8" s="33">
        <v>0.04</v>
      </c>
      <c r="G8" s="106"/>
      <c r="J8" s="202" t="s">
        <v>173</v>
      </c>
      <c r="K8" s="100"/>
    </row>
    <row r="9" spans="1:11">
      <c r="A9" s="34" t="s">
        <v>174</v>
      </c>
      <c r="B9" s="96">
        <v>0</v>
      </c>
      <c r="C9" s="96">
        <v>1</v>
      </c>
      <c r="D9" s="26">
        <f t="shared" si="0"/>
        <v>1</v>
      </c>
      <c r="E9" s="33">
        <v>0.04</v>
      </c>
      <c r="F9" s="27">
        <v>0.04</v>
      </c>
      <c r="G9" s="106"/>
      <c r="J9" s="173" t="s">
        <v>19</v>
      </c>
      <c r="K9" s="100">
        <f>D10*10</f>
        <v>0</v>
      </c>
    </row>
    <row r="10" spans="1:11">
      <c r="A10" s="34" t="s">
        <v>19</v>
      </c>
      <c r="B10" s="97">
        <v>0</v>
      </c>
      <c r="C10" s="97">
        <v>0</v>
      </c>
      <c r="D10" s="26">
        <f t="shared" si="0"/>
        <v>0</v>
      </c>
      <c r="E10" s="33">
        <v>0.04</v>
      </c>
      <c r="G10" s="106"/>
      <c r="J10" s="9"/>
      <c r="K10" s="100"/>
    </row>
    <row r="11" spans="1:11">
      <c r="A11" s="34" t="s">
        <v>175</v>
      </c>
      <c r="B11" s="96">
        <v>0</v>
      </c>
      <c r="C11" s="96">
        <v>0</v>
      </c>
      <c r="D11" s="26">
        <f t="shared" si="0"/>
        <v>0</v>
      </c>
      <c r="E11" s="33">
        <v>0.05</v>
      </c>
      <c r="G11" s="106"/>
      <c r="J11" s="9" t="s">
        <v>20</v>
      </c>
      <c r="K11" s="100">
        <f>(D12+D11)/2*10</f>
        <v>0</v>
      </c>
    </row>
    <row r="12" spans="1:11">
      <c r="A12" s="34" t="s">
        <v>176</v>
      </c>
      <c r="B12" s="97">
        <v>0</v>
      </c>
      <c r="C12" s="97">
        <v>0</v>
      </c>
      <c r="D12" s="26">
        <f t="shared" si="0"/>
        <v>0</v>
      </c>
      <c r="E12" s="33">
        <v>0.04</v>
      </c>
      <c r="G12" s="106"/>
      <c r="J12" s="9"/>
      <c r="K12" s="100"/>
    </row>
    <row r="13" spans="1:11">
      <c r="A13" s="34" t="s">
        <v>177</v>
      </c>
      <c r="B13" s="96">
        <v>0</v>
      </c>
      <c r="C13" s="96">
        <v>0</v>
      </c>
      <c r="D13" s="26">
        <f t="shared" si="0"/>
        <v>0</v>
      </c>
      <c r="E13" s="33">
        <v>0.04</v>
      </c>
      <c r="G13" s="106"/>
      <c r="J13" s="9" t="s">
        <v>21</v>
      </c>
      <c r="K13" s="100">
        <f>(D13+D14)/2*10</f>
        <v>0</v>
      </c>
    </row>
    <row r="14" spans="1:11">
      <c r="A14" s="34" t="s">
        <v>178</v>
      </c>
      <c r="B14" s="97">
        <v>0</v>
      </c>
      <c r="C14" s="97">
        <v>0</v>
      </c>
      <c r="D14" s="26">
        <f t="shared" si="0"/>
        <v>0</v>
      </c>
      <c r="E14" s="33">
        <v>0.04</v>
      </c>
      <c r="G14" s="102"/>
      <c r="J14" s="9"/>
      <c r="K14" s="100"/>
    </row>
    <row r="15" spans="1:11">
      <c r="A15" s="34" t="s">
        <v>22</v>
      </c>
      <c r="B15" s="96">
        <v>0</v>
      </c>
      <c r="C15" s="96">
        <v>0</v>
      </c>
      <c r="D15" s="26">
        <f t="shared" si="0"/>
        <v>0</v>
      </c>
      <c r="E15" s="33">
        <v>0.04</v>
      </c>
      <c r="G15" s="102"/>
      <c r="J15" s="9" t="s">
        <v>22</v>
      </c>
      <c r="K15" s="100">
        <f>D15*10</f>
        <v>0</v>
      </c>
    </row>
    <row r="16" spans="1:11">
      <c r="A16" s="34" t="s">
        <v>179</v>
      </c>
      <c r="B16" s="97">
        <v>0</v>
      </c>
      <c r="C16" s="97">
        <v>0</v>
      </c>
      <c r="D16" s="26">
        <f t="shared" si="0"/>
        <v>0</v>
      </c>
      <c r="E16" s="33">
        <v>0.04</v>
      </c>
      <c r="G16" s="102"/>
      <c r="J16" s="9"/>
      <c r="K16" s="100"/>
    </row>
    <row r="17" spans="1:11">
      <c r="A17" s="34" t="s">
        <v>180</v>
      </c>
      <c r="B17" s="96">
        <v>0</v>
      </c>
      <c r="C17" s="96">
        <v>0</v>
      </c>
      <c r="D17" s="26">
        <f t="shared" si="0"/>
        <v>0</v>
      </c>
      <c r="E17" s="33">
        <v>0.04</v>
      </c>
      <c r="G17" s="102"/>
      <c r="J17" s="9" t="s">
        <v>23</v>
      </c>
      <c r="K17" s="100">
        <f>(D16+D17)/2*10</f>
        <v>0</v>
      </c>
    </row>
    <row r="18" spans="1:11">
      <c r="A18" s="34" t="s">
        <v>181</v>
      </c>
      <c r="B18" s="97">
        <v>0</v>
      </c>
      <c r="C18" s="97">
        <v>0</v>
      </c>
      <c r="D18" s="26">
        <f t="shared" si="0"/>
        <v>0</v>
      </c>
      <c r="E18" s="33">
        <v>0.04</v>
      </c>
      <c r="G18" s="102"/>
      <c r="J18" s="9"/>
      <c r="K18" s="100"/>
    </row>
    <row r="19" spans="1:11">
      <c r="A19" s="34" t="s">
        <v>182</v>
      </c>
      <c r="B19" s="96">
        <v>0</v>
      </c>
      <c r="C19" s="96">
        <v>0</v>
      </c>
      <c r="D19" s="26">
        <f t="shared" si="0"/>
        <v>0</v>
      </c>
      <c r="E19" s="33">
        <v>0.03</v>
      </c>
      <c r="G19" s="102"/>
      <c r="J19" s="9" t="s">
        <v>24</v>
      </c>
      <c r="K19" s="100">
        <f>(D18+D19)/2*10</f>
        <v>0</v>
      </c>
    </row>
    <row r="20" spans="1:11">
      <c r="A20" s="34" t="s">
        <v>183</v>
      </c>
      <c r="B20" s="97">
        <v>0</v>
      </c>
      <c r="C20" s="97">
        <v>0</v>
      </c>
      <c r="D20" s="26">
        <f t="shared" si="0"/>
        <v>0</v>
      </c>
      <c r="E20" s="33">
        <v>0.03</v>
      </c>
      <c r="G20" s="102"/>
      <c r="J20" s="9"/>
      <c r="K20" s="100"/>
    </row>
    <row r="21" spans="1:11">
      <c r="A21" s="34" t="s">
        <v>184</v>
      </c>
      <c r="B21" s="96">
        <v>0</v>
      </c>
      <c r="C21" s="96">
        <v>0</v>
      </c>
      <c r="D21" s="26">
        <f t="shared" si="0"/>
        <v>0</v>
      </c>
      <c r="E21" s="33">
        <v>0.03</v>
      </c>
      <c r="G21" s="102"/>
      <c r="J21" s="9" t="s">
        <v>25</v>
      </c>
      <c r="K21" s="100">
        <f>D20*10</f>
        <v>0</v>
      </c>
    </row>
    <row r="22" spans="1:11">
      <c r="A22" s="34" t="s">
        <v>185</v>
      </c>
      <c r="B22" s="97">
        <v>0</v>
      </c>
      <c r="C22" s="97">
        <v>0</v>
      </c>
      <c r="D22" s="26">
        <f t="shared" si="0"/>
        <v>0</v>
      </c>
      <c r="E22" s="33">
        <v>0.02</v>
      </c>
      <c r="G22" s="102"/>
      <c r="J22" s="170"/>
      <c r="K22" s="100"/>
    </row>
    <row r="23" spans="1:11" ht="31">
      <c r="A23" s="34" t="s">
        <v>186</v>
      </c>
      <c r="B23" s="96">
        <v>0</v>
      </c>
      <c r="C23" s="96">
        <v>0</v>
      </c>
      <c r="D23" s="26">
        <f t="shared" si="0"/>
        <v>0</v>
      </c>
      <c r="E23" s="33">
        <v>0.02</v>
      </c>
      <c r="G23" s="102"/>
      <c r="J23" s="9" t="s">
        <v>26</v>
      </c>
      <c r="K23" s="100">
        <f>D21*10</f>
        <v>0</v>
      </c>
    </row>
    <row r="24" spans="1:11" ht="31">
      <c r="A24" s="34" t="s">
        <v>187</v>
      </c>
      <c r="B24" s="97">
        <v>0</v>
      </c>
      <c r="C24" s="97">
        <v>0</v>
      </c>
      <c r="D24" s="26">
        <f t="shared" si="0"/>
        <v>0</v>
      </c>
      <c r="E24" s="33">
        <v>0.03</v>
      </c>
      <c r="G24" s="102"/>
      <c r="J24" s="9"/>
      <c r="K24" s="100"/>
    </row>
    <row r="25" spans="1:11" ht="31">
      <c r="A25" s="34" t="s">
        <v>188</v>
      </c>
      <c r="B25" s="96">
        <v>0</v>
      </c>
      <c r="C25" s="96">
        <v>0</v>
      </c>
      <c r="D25" s="26">
        <f t="shared" si="0"/>
        <v>0</v>
      </c>
      <c r="E25" s="33">
        <v>0.03</v>
      </c>
      <c r="G25" s="102"/>
      <c r="J25" s="9" t="s">
        <v>27</v>
      </c>
      <c r="K25" s="100">
        <f>D22*10</f>
        <v>0</v>
      </c>
    </row>
    <row r="26" spans="1:11" ht="31">
      <c r="A26" s="34" t="s">
        <v>189</v>
      </c>
      <c r="B26" s="97">
        <v>0</v>
      </c>
      <c r="C26" s="97">
        <v>0</v>
      </c>
      <c r="D26" s="26">
        <f t="shared" si="0"/>
        <v>0</v>
      </c>
      <c r="E26" s="33">
        <v>0.03</v>
      </c>
      <c r="G26" s="102"/>
      <c r="J26" s="9"/>
      <c r="K26" s="100"/>
    </row>
    <row r="27" spans="1:11">
      <c r="A27" s="34" t="s">
        <v>190</v>
      </c>
      <c r="B27" s="96">
        <v>0</v>
      </c>
      <c r="C27" s="96">
        <v>0</v>
      </c>
      <c r="D27" s="26">
        <f t="shared" si="0"/>
        <v>0</v>
      </c>
      <c r="E27" s="33">
        <v>0.03</v>
      </c>
      <c r="G27" s="102"/>
      <c r="J27" s="9" t="s">
        <v>28</v>
      </c>
      <c r="K27" s="100">
        <f>(D23+D24)/2*10</f>
        <v>0</v>
      </c>
    </row>
    <row r="28" spans="1:11">
      <c r="A28" s="34" t="s">
        <v>191</v>
      </c>
      <c r="B28" s="97">
        <v>0</v>
      </c>
      <c r="C28" s="97">
        <v>0</v>
      </c>
      <c r="D28" s="26">
        <f t="shared" si="0"/>
        <v>0</v>
      </c>
      <c r="E28" s="33">
        <v>0.03</v>
      </c>
      <c r="G28" s="102"/>
      <c r="J28" s="9"/>
      <c r="K28" s="100"/>
    </row>
    <row r="29" spans="1:11" ht="31">
      <c r="A29" s="34" t="s">
        <v>192</v>
      </c>
      <c r="B29" s="96">
        <v>0</v>
      </c>
      <c r="C29" s="96">
        <v>0</v>
      </c>
      <c r="D29" s="26">
        <f t="shared" si="0"/>
        <v>0</v>
      </c>
      <c r="E29" s="33">
        <v>0.03</v>
      </c>
      <c r="G29" s="102"/>
      <c r="J29" s="9" t="s">
        <v>29</v>
      </c>
      <c r="K29" s="100">
        <f>D25*10</f>
        <v>0</v>
      </c>
    </row>
    <row r="30" spans="1:11">
      <c r="A30" s="34" t="s">
        <v>193</v>
      </c>
      <c r="B30" s="97">
        <v>0</v>
      </c>
      <c r="C30" s="97">
        <v>0</v>
      </c>
      <c r="D30" s="26">
        <f t="shared" si="0"/>
        <v>0</v>
      </c>
      <c r="E30" s="33">
        <v>0.03</v>
      </c>
      <c r="G30" s="102"/>
      <c r="J30" s="9"/>
      <c r="K30" s="100"/>
    </row>
    <row r="31" spans="1:11">
      <c r="A31" s="34" t="s">
        <v>194</v>
      </c>
      <c r="B31" s="96">
        <v>0</v>
      </c>
      <c r="C31" s="96">
        <v>0</v>
      </c>
      <c r="D31" s="26">
        <f t="shared" si="0"/>
        <v>0</v>
      </c>
      <c r="E31" s="33">
        <v>0.03</v>
      </c>
      <c r="G31" s="102"/>
      <c r="J31" s="9" t="s">
        <v>30</v>
      </c>
      <c r="K31" s="100">
        <f>D26*10</f>
        <v>0</v>
      </c>
    </row>
    <row r="32" spans="1:11">
      <c r="A32" s="34" t="s">
        <v>195</v>
      </c>
      <c r="B32" s="97">
        <v>0</v>
      </c>
      <c r="C32" s="97">
        <v>0</v>
      </c>
      <c r="D32" s="26">
        <f t="shared" si="0"/>
        <v>0</v>
      </c>
      <c r="E32" s="33">
        <v>0.03</v>
      </c>
      <c r="G32" s="102"/>
      <c r="J32" s="9"/>
      <c r="K32" s="100"/>
    </row>
    <row r="33" spans="1:11">
      <c r="A33" s="34" t="s">
        <v>196</v>
      </c>
      <c r="B33" s="96">
        <v>0</v>
      </c>
      <c r="C33" s="96">
        <v>0</v>
      </c>
      <c r="D33" s="26">
        <f t="shared" si="0"/>
        <v>0</v>
      </c>
      <c r="E33" s="33">
        <v>0.03</v>
      </c>
      <c r="G33" s="102"/>
      <c r="J33" s="9" t="s">
        <v>31</v>
      </c>
      <c r="K33" s="100">
        <f>D27*10</f>
        <v>0</v>
      </c>
    </row>
    <row r="34" spans="1:11">
      <c r="A34" s="34" t="s">
        <v>197</v>
      </c>
      <c r="B34" s="97">
        <v>0</v>
      </c>
      <c r="C34" s="97">
        <v>0</v>
      </c>
      <c r="D34" s="26">
        <f t="shared" si="0"/>
        <v>0</v>
      </c>
      <c r="E34" s="33">
        <v>0.03</v>
      </c>
      <c r="G34" s="102"/>
      <c r="J34" s="9"/>
      <c r="K34" s="100"/>
    </row>
    <row r="35" spans="1:11">
      <c r="A35" s="34" t="s">
        <v>198</v>
      </c>
      <c r="B35" s="96">
        <v>0</v>
      </c>
      <c r="C35" s="96">
        <v>0</v>
      </c>
      <c r="D35" s="26">
        <f t="shared" si="0"/>
        <v>0</v>
      </c>
      <c r="E35" s="33">
        <v>0.02</v>
      </c>
      <c r="G35" s="102"/>
      <c r="J35" s="9" t="s">
        <v>32</v>
      </c>
      <c r="K35" s="100">
        <f>D28*10</f>
        <v>0</v>
      </c>
    </row>
    <row r="36" spans="1:11">
      <c r="A36" s="34" t="s">
        <v>199</v>
      </c>
      <c r="B36" s="97">
        <v>0</v>
      </c>
      <c r="C36" s="97">
        <v>0</v>
      </c>
      <c r="D36" s="26">
        <f t="shared" si="0"/>
        <v>0</v>
      </c>
      <c r="E36" s="33">
        <v>0.02</v>
      </c>
      <c r="G36" s="102"/>
      <c r="J36" s="9"/>
      <c r="K36" s="100"/>
    </row>
    <row r="37" spans="1:11">
      <c r="A37" s="98" t="s">
        <v>134</v>
      </c>
      <c r="B37" s="100"/>
      <c r="C37" s="100"/>
      <c r="D37" s="100"/>
      <c r="E37" s="101"/>
      <c r="F37" s="101"/>
      <c r="G37" s="102"/>
      <c r="J37" s="9" t="s">
        <v>33</v>
      </c>
      <c r="K37" s="100">
        <f>D31*10</f>
        <v>0</v>
      </c>
    </row>
    <row r="38" spans="1:11">
      <c r="E38" s="67" t="s">
        <v>200</v>
      </c>
      <c r="F38" s="67">
        <f>SUM(F7:F36)</f>
        <v>0.04</v>
      </c>
      <c r="G38" s="102"/>
      <c r="J38" s="9"/>
      <c r="K38" s="100"/>
    </row>
    <row r="39" spans="1:11">
      <c r="G39" s="102"/>
      <c r="J39" s="9" t="s">
        <v>34</v>
      </c>
      <c r="K39" s="100">
        <f>D31*10</f>
        <v>0</v>
      </c>
    </row>
    <row r="40" spans="1:11">
      <c r="G40" s="102"/>
      <c r="J40" s="9"/>
      <c r="K40" s="100"/>
    </row>
    <row r="41" spans="1:11">
      <c r="A41" s="174"/>
      <c r="B41" s="147"/>
      <c r="G41" s="102"/>
      <c r="J41" s="9" t="s">
        <v>35</v>
      </c>
      <c r="K41" s="100"/>
    </row>
    <row r="42" spans="1:11">
      <c r="G42" s="102"/>
      <c r="J42" s="9"/>
      <c r="K42" s="100"/>
    </row>
    <row r="43" spans="1:11">
      <c r="G43" s="102"/>
      <c r="J43" s="9" t="s">
        <v>36</v>
      </c>
      <c r="K43" s="100">
        <f>D29*10</f>
        <v>0</v>
      </c>
    </row>
    <row r="44" spans="1:11">
      <c r="G44" s="102"/>
      <c r="J44" s="9"/>
      <c r="K44" s="100"/>
    </row>
    <row r="45" spans="1:11">
      <c r="G45" s="102"/>
      <c r="J45" s="9" t="s">
        <v>37</v>
      </c>
      <c r="K45" s="100">
        <f>D30*10</f>
        <v>0</v>
      </c>
    </row>
    <row r="46" spans="1:11">
      <c r="G46" s="102"/>
      <c r="J46" s="9"/>
      <c r="K46" s="100"/>
    </row>
    <row r="47" spans="1:11">
      <c r="G47" s="102"/>
      <c r="J47" s="9" t="s">
        <v>38</v>
      </c>
      <c r="K47" s="100">
        <f>D32*10</f>
        <v>0</v>
      </c>
    </row>
    <row r="48" spans="1:11">
      <c r="G48" s="102"/>
      <c r="J48" s="9"/>
      <c r="K48" s="100"/>
    </row>
    <row r="49" spans="7:11">
      <c r="G49" s="102"/>
      <c r="J49" s="9" t="s">
        <v>39</v>
      </c>
      <c r="K49" s="100">
        <f>D33*10</f>
        <v>0</v>
      </c>
    </row>
    <row r="50" spans="7:11">
      <c r="G50" s="102"/>
      <c r="J50" s="9"/>
      <c r="K50" s="100"/>
    </row>
    <row r="51" spans="7:11">
      <c r="G51" s="102"/>
      <c r="J51" s="9" t="s">
        <v>40</v>
      </c>
      <c r="K51" s="100">
        <f>D34*10</f>
        <v>0</v>
      </c>
    </row>
    <row r="52" spans="7:11">
      <c r="G52" s="102"/>
      <c r="J52" s="9"/>
      <c r="K52" s="100"/>
    </row>
    <row r="53" spans="7:11">
      <c r="G53" s="102"/>
      <c r="J53" s="9" t="s">
        <v>41</v>
      </c>
      <c r="K53" s="100">
        <f>D35*10</f>
        <v>0</v>
      </c>
    </row>
    <row r="54" spans="7:11">
      <c r="G54" s="102"/>
      <c r="J54" s="9"/>
      <c r="K54" s="100"/>
    </row>
    <row r="55" spans="7:11">
      <c r="G55" s="102"/>
      <c r="J55" s="9" t="s">
        <v>42</v>
      </c>
      <c r="K55" s="100">
        <f>D36*10</f>
        <v>0</v>
      </c>
    </row>
    <row r="56" spans="7:11">
      <c r="G56" s="102"/>
      <c r="J56" s="9"/>
      <c r="K56" s="100"/>
    </row>
    <row r="57" spans="7:11">
      <c r="G57" s="102"/>
      <c r="J57" s="9" t="s">
        <v>43</v>
      </c>
      <c r="K57" s="100"/>
    </row>
    <row r="58" spans="7:11">
      <c r="G58" s="102"/>
      <c r="J58" s="9"/>
      <c r="K58" s="100"/>
    </row>
    <row r="59" spans="7:11">
      <c r="G59" s="102"/>
      <c r="J59" s="9" t="s">
        <v>44</v>
      </c>
      <c r="K59" s="100"/>
    </row>
    <row r="60" spans="7:11">
      <c r="G60" s="102"/>
      <c r="J60" s="9"/>
      <c r="K60" s="100"/>
    </row>
    <row r="61" spans="7:11">
      <c r="G61" s="102"/>
      <c r="J61" s="9" t="s">
        <v>45</v>
      </c>
      <c r="K61" s="100"/>
    </row>
    <row r="62" spans="7:11">
      <c r="G62" s="102"/>
      <c r="J62" s="9"/>
      <c r="K62" s="100"/>
    </row>
  </sheetData>
  <mergeCells count="7">
    <mergeCell ref="K1:K2"/>
    <mergeCell ref="A1:A6"/>
    <mergeCell ref="C1:C5"/>
    <mergeCell ref="B1:B5"/>
    <mergeCell ref="D1:D6"/>
    <mergeCell ref="E1:E5"/>
    <mergeCell ref="F1: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J40"/>
  <sheetViews>
    <sheetView zoomScale="90" zoomScaleNormal="90" workbookViewId="0">
      <selection activeCell="D10" sqref="D10"/>
    </sheetView>
  </sheetViews>
  <sheetFormatPr defaultColWidth="10.83203125" defaultRowHeight="15.5"/>
  <cols>
    <col min="1" max="1" width="32.33203125" style="1" customWidth="1"/>
    <col min="2" max="2" width="31.33203125" style="1" customWidth="1"/>
    <col min="3" max="3" width="29.83203125" style="1" customWidth="1"/>
    <col min="4" max="5" width="29.58203125" style="1" customWidth="1"/>
    <col min="6" max="6" width="15" style="1" customWidth="1"/>
    <col min="7" max="7" width="17.08203125" style="1" customWidth="1"/>
    <col min="8" max="16384" width="10.83203125" style="1"/>
  </cols>
  <sheetData>
    <row r="1" spans="1:10">
      <c r="A1" s="3"/>
      <c r="B1" s="221" t="s">
        <v>201</v>
      </c>
      <c r="C1" s="221"/>
      <c r="D1" s="221"/>
      <c r="E1" s="221"/>
    </row>
    <row r="2" spans="1:10">
      <c r="A2" s="226" t="s">
        <v>202</v>
      </c>
      <c r="B2" s="231" t="s">
        <v>203</v>
      </c>
      <c r="C2" s="231" t="s">
        <v>204</v>
      </c>
      <c r="D2" s="231" t="s">
        <v>205</v>
      </c>
      <c r="E2" s="231" t="s">
        <v>206</v>
      </c>
      <c r="F2" s="238" t="s">
        <v>13</v>
      </c>
    </row>
    <row r="3" spans="1:10">
      <c r="A3" s="226"/>
      <c r="B3" s="231"/>
      <c r="C3" s="231"/>
      <c r="D3" s="239"/>
      <c r="E3" s="231"/>
      <c r="F3" s="238"/>
      <c r="G3" s="69" t="s">
        <v>140</v>
      </c>
      <c r="H3" s="70"/>
      <c r="I3" s="70"/>
      <c r="J3" s="70"/>
    </row>
    <row r="4" spans="1:10">
      <c r="A4" s="226"/>
      <c r="B4" s="231"/>
      <c r="C4" s="231"/>
      <c r="D4" s="239"/>
      <c r="E4" s="231"/>
      <c r="F4" s="238"/>
    </row>
    <row r="5" spans="1:10" ht="49" customHeight="1">
      <c r="A5" s="226"/>
      <c r="B5" s="231"/>
      <c r="C5" s="231"/>
      <c r="D5" s="239"/>
      <c r="E5" s="231"/>
      <c r="F5" s="238"/>
    </row>
    <row r="6" spans="1:10" ht="17.149999999999999" customHeight="1">
      <c r="A6" s="11"/>
      <c r="B6" s="31"/>
      <c r="C6" s="31"/>
      <c r="D6" s="29"/>
      <c r="E6" s="29"/>
      <c r="F6" s="238"/>
    </row>
    <row r="7" spans="1:10">
      <c r="A7" s="71" t="s">
        <v>207</v>
      </c>
      <c r="B7" s="199">
        <v>0</v>
      </c>
      <c r="C7" s="199">
        <v>0</v>
      </c>
      <c r="D7" s="199">
        <v>4</v>
      </c>
      <c r="E7" s="72">
        <v>0</v>
      </c>
      <c r="F7" s="2">
        <f>SUM(B7:E7)</f>
        <v>4</v>
      </c>
    </row>
    <row r="8" spans="1:10">
      <c r="A8" s="71"/>
      <c r="B8" s="203"/>
      <c r="C8" s="199"/>
      <c r="D8" s="204">
        <f>(D24+D26+D29+D30+D31+D32+D38)</f>
        <v>0.15484219045049907</v>
      </c>
      <c r="E8" s="72"/>
      <c r="F8" s="2"/>
    </row>
    <row r="9" spans="1:10">
      <c r="A9" s="71" t="s">
        <v>208</v>
      </c>
      <c r="B9" s="199">
        <v>0</v>
      </c>
      <c r="C9" s="199">
        <v>0</v>
      </c>
      <c r="D9" s="199">
        <v>3</v>
      </c>
      <c r="E9" s="72">
        <v>0</v>
      </c>
      <c r="F9" s="2">
        <f>SUM(B9:E9)</f>
        <v>3</v>
      </c>
    </row>
    <row r="10" spans="1:10">
      <c r="A10" s="71"/>
      <c r="B10" s="199"/>
      <c r="C10" s="203"/>
      <c r="D10" s="203">
        <f>(D23+D25+D27+D28+D33)</f>
        <v>0.17939034259509037</v>
      </c>
      <c r="E10" s="72"/>
      <c r="F10" s="2"/>
    </row>
    <row r="11" spans="1:10" ht="31">
      <c r="A11" s="73" t="s">
        <v>209</v>
      </c>
      <c r="B11" s="199">
        <v>4</v>
      </c>
      <c r="C11" s="199">
        <v>0</v>
      </c>
      <c r="D11" s="199">
        <v>0</v>
      </c>
      <c r="E11" s="72">
        <v>0</v>
      </c>
      <c r="F11" s="2">
        <f>SUM(B11:E11)</f>
        <v>4</v>
      </c>
    </row>
    <row r="12" spans="1:10">
      <c r="A12" s="71"/>
      <c r="B12" s="203">
        <f>(D21+D22+D36+D37+D39)</f>
        <v>0.6441866738602644</v>
      </c>
      <c r="C12" s="199"/>
      <c r="D12" s="199"/>
      <c r="E12" s="72"/>
      <c r="F12" s="2"/>
    </row>
    <row r="13" spans="1:10" ht="32.15" customHeight="1">
      <c r="A13" s="109" t="s">
        <v>13</v>
      </c>
      <c r="B13" s="110"/>
      <c r="C13" s="110"/>
      <c r="D13" s="110"/>
      <c r="E13" s="110"/>
      <c r="F13" s="40">
        <f>(F7+F9+F11)/14*100</f>
        <v>78.571428571428569</v>
      </c>
      <c r="G13" s="40" t="s">
        <v>210</v>
      </c>
    </row>
    <row r="17" spans="2:7" ht="30" customHeight="1">
      <c r="F17" s="27"/>
      <c r="G17" s="52"/>
    </row>
    <row r="19" spans="2:7">
      <c r="B19" s="150" t="s">
        <v>211</v>
      </c>
    </row>
    <row r="20" spans="2:7">
      <c r="B20" s="149" t="s">
        <v>212</v>
      </c>
      <c r="C20" s="149" t="s">
        <v>213</v>
      </c>
      <c r="D20" s="149" t="s">
        <v>214</v>
      </c>
      <c r="E20" s="149" t="s">
        <v>215</v>
      </c>
    </row>
    <row r="21" spans="2:7">
      <c r="B21" s="148" t="s">
        <v>216</v>
      </c>
      <c r="C21" s="148">
        <v>40.1</v>
      </c>
      <c r="D21" s="151">
        <f>C21/$C$40</f>
        <v>0.10817372538440788</v>
      </c>
      <c r="E21" s="156" t="s">
        <v>217</v>
      </c>
    </row>
    <row r="22" spans="2:7">
      <c r="B22" s="148" t="s">
        <v>218</v>
      </c>
      <c r="C22" s="148">
        <v>31.8</v>
      </c>
      <c r="D22" s="151">
        <f t="shared" ref="D22:D39" si="0">C22/$C$40</f>
        <v>8.578365254923119E-2</v>
      </c>
      <c r="E22" s="156" t="s">
        <v>217</v>
      </c>
    </row>
    <row r="23" spans="2:7">
      <c r="B23" s="148" t="s">
        <v>219</v>
      </c>
      <c r="C23" s="148">
        <v>27.1</v>
      </c>
      <c r="D23" s="151">
        <f t="shared" si="0"/>
        <v>7.3104936606420298E-2</v>
      </c>
      <c r="E23" s="156" t="s">
        <v>220</v>
      </c>
    </row>
    <row r="24" spans="2:7">
      <c r="B24" s="148" t="s">
        <v>221</v>
      </c>
      <c r="C24" s="148">
        <v>18.7</v>
      </c>
      <c r="D24" s="151">
        <f t="shared" si="0"/>
        <v>5.0445103857566766E-2</v>
      </c>
      <c r="E24" s="156" t="s">
        <v>222</v>
      </c>
    </row>
    <row r="25" spans="2:7">
      <c r="B25" s="148" t="s">
        <v>223</v>
      </c>
      <c r="C25" s="148">
        <v>13.8</v>
      </c>
      <c r="D25" s="151">
        <f t="shared" si="0"/>
        <v>3.7226868087402214E-2</v>
      </c>
      <c r="E25" s="156" t="s">
        <v>220</v>
      </c>
    </row>
    <row r="26" spans="2:7">
      <c r="B26" s="148" t="s">
        <v>224</v>
      </c>
      <c r="C26" s="148">
        <v>12.8</v>
      </c>
      <c r="D26" s="151">
        <f t="shared" si="0"/>
        <v>3.4529268950633941E-2</v>
      </c>
      <c r="E26" s="156" t="s">
        <v>222</v>
      </c>
    </row>
    <row r="27" spans="2:7">
      <c r="B27" s="148" t="s">
        <v>225</v>
      </c>
      <c r="C27" s="148">
        <v>10</v>
      </c>
      <c r="D27" s="151">
        <f t="shared" si="0"/>
        <v>2.6975991367682764E-2</v>
      </c>
      <c r="E27" s="156" t="s">
        <v>220</v>
      </c>
    </row>
    <row r="28" spans="2:7">
      <c r="B28" s="148" t="s">
        <v>226</v>
      </c>
      <c r="C28" s="148">
        <v>9.6999999999999993</v>
      </c>
      <c r="D28" s="151">
        <f t="shared" si="0"/>
        <v>2.6166711626652277E-2</v>
      </c>
      <c r="E28" s="156" t="s">
        <v>220</v>
      </c>
    </row>
    <row r="29" spans="2:7">
      <c r="B29" s="148" t="s">
        <v>227</v>
      </c>
      <c r="C29" s="148">
        <v>7.4</v>
      </c>
      <c r="D29" s="151">
        <f t="shared" si="0"/>
        <v>1.9962233612085246E-2</v>
      </c>
      <c r="E29" s="156" t="s">
        <v>222</v>
      </c>
    </row>
    <row r="30" spans="2:7">
      <c r="B30" s="148" t="s">
        <v>228</v>
      </c>
      <c r="C30" s="148">
        <v>7.1</v>
      </c>
      <c r="D30" s="151">
        <f t="shared" si="0"/>
        <v>1.915295387105476E-2</v>
      </c>
      <c r="E30" s="156" t="s">
        <v>222</v>
      </c>
    </row>
    <row r="31" spans="2:7">
      <c r="B31" s="148" t="s">
        <v>229</v>
      </c>
      <c r="C31" s="148">
        <v>5.7</v>
      </c>
      <c r="D31" s="151">
        <f t="shared" si="0"/>
        <v>1.5376315079579175E-2</v>
      </c>
      <c r="E31" s="156" t="s">
        <v>222</v>
      </c>
    </row>
    <row r="32" spans="2:7">
      <c r="B32" s="148" t="s">
        <v>230</v>
      </c>
      <c r="C32" s="148">
        <v>5.3</v>
      </c>
      <c r="D32" s="151">
        <f t="shared" si="0"/>
        <v>1.4297275424871863E-2</v>
      </c>
      <c r="E32" s="156" t="s">
        <v>222</v>
      </c>
    </row>
    <row r="33" spans="2:5">
      <c r="B33" s="148" t="s">
        <v>231</v>
      </c>
      <c r="C33" s="148">
        <v>5.9</v>
      </c>
      <c r="D33" s="151">
        <f t="shared" si="0"/>
        <v>1.5915834906932831E-2</v>
      </c>
      <c r="E33" s="156" t="s">
        <v>220</v>
      </c>
    </row>
    <row r="34" spans="2:5">
      <c r="B34" s="148" t="s">
        <v>232</v>
      </c>
      <c r="C34" s="148">
        <v>4.7</v>
      </c>
      <c r="D34" s="151">
        <f t="shared" si="0"/>
        <v>1.2678715942810899E-2</v>
      </c>
      <c r="E34" s="156" t="s">
        <v>222</v>
      </c>
    </row>
    <row r="35" spans="2:5">
      <c r="B35" s="148" t="s">
        <v>233</v>
      </c>
      <c r="C35" s="148">
        <v>4.3</v>
      </c>
      <c r="D35" s="151">
        <f t="shared" si="0"/>
        <v>1.1599676288103588E-2</v>
      </c>
      <c r="E35" s="156" t="s">
        <v>222</v>
      </c>
    </row>
    <row r="36" spans="2:5">
      <c r="B36" s="148" t="s">
        <v>234</v>
      </c>
      <c r="C36" s="148">
        <v>3.6</v>
      </c>
      <c r="D36" s="151">
        <f t="shared" si="0"/>
        <v>9.711356892365795E-3</v>
      </c>
      <c r="E36" s="156" t="s">
        <v>217</v>
      </c>
    </row>
    <row r="37" spans="2:5">
      <c r="B37" s="148" t="s">
        <v>235</v>
      </c>
      <c r="C37" s="148">
        <v>3.2</v>
      </c>
      <c r="D37" s="151">
        <f t="shared" si="0"/>
        <v>8.6323172376584854E-3</v>
      </c>
      <c r="E37" s="156" t="s">
        <v>217</v>
      </c>
    </row>
    <row r="38" spans="2:5">
      <c r="B38" s="148" t="s">
        <v>236</v>
      </c>
      <c r="C38" s="148">
        <v>0.4</v>
      </c>
      <c r="D38" s="151">
        <f t="shared" si="0"/>
        <v>1.0790396547073107E-3</v>
      </c>
      <c r="E38" s="156" t="s">
        <v>222</v>
      </c>
    </row>
    <row r="39" spans="2:5">
      <c r="B39" s="148" t="s">
        <v>237</v>
      </c>
      <c r="C39" s="148">
        <v>160.1</v>
      </c>
      <c r="D39" s="151">
        <f t="shared" si="0"/>
        <v>0.431885621796601</v>
      </c>
      <c r="E39" s="156" t="s">
        <v>217</v>
      </c>
    </row>
    <row r="40" spans="2:5">
      <c r="B40" s="150" t="s">
        <v>134</v>
      </c>
      <c r="C40" s="148">
        <v>370.7</v>
      </c>
      <c r="D40" s="151" t="s">
        <v>238</v>
      </c>
      <c r="E40" s="151" t="s">
        <v>238</v>
      </c>
    </row>
  </sheetData>
  <mergeCells count="7">
    <mergeCell ref="B1:E1"/>
    <mergeCell ref="E2:E5"/>
    <mergeCell ref="F2:F6"/>
    <mergeCell ref="A2:A5"/>
    <mergeCell ref="B2:B5"/>
    <mergeCell ref="C2:C5"/>
    <mergeCell ref="D2: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Banco (CRÉDITO)</vt:lpstr>
      <vt:lpstr>Presença nas Políticas</vt:lpstr>
      <vt:lpstr>Profundidade de Políticas</vt:lpstr>
      <vt:lpstr>Bases de dados</vt:lpstr>
      <vt:lpstr>Relevância processo decisório</vt:lpstr>
      <vt:lpstr>Monitoramento de riscos</vt:lpstr>
      <vt:lpstr>Ações de mitigação de riscos</vt:lpstr>
      <vt:lpstr>Produtos financeiros</vt:lpstr>
      <vt:lpstr>Portfólio (setor)</vt:lpstr>
      <vt:lpstr>Portfólio (localização)</vt:lpstr>
      <vt:lpstr>Portfólio (empresa)</vt:lpstr>
      <vt:lpstr>Governança</vt:lpstr>
      <vt:lpstr>Controvérsias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Luciane Moessa de Souza</cp:lastModifiedBy>
  <cp:revision/>
  <dcterms:created xsi:type="dcterms:W3CDTF">2022-10-09T23:08:45Z</dcterms:created>
  <dcterms:modified xsi:type="dcterms:W3CDTF">2024-08-19T11:53:04Z</dcterms:modified>
  <cp:category/>
  <cp:contentStatus/>
</cp:coreProperties>
</file>